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33" sheetId="1" r:id="rId1"/>
    <sheet name="51" sheetId="2" r:id="rId2"/>
    <sheet name="59" sheetId="3" r:id="rId3"/>
    <sheet name="60" sheetId="4" r:id="rId4"/>
    <sheet name="61" sheetId="5" r:id="rId5"/>
    <sheet name="62" sheetId="6" r:id="rId6"/>
    <sheet name="130" sheetId="7" r:id="rId7"/>
    <sheet name="136" sheetId="8" r:id="rId8"/>
    <sheet name="В" sheetId="9" r:id="rId9"/>
    <sheet name="Приипподр" sheetId="10" r:id="rId10"/>
  </sheets>
  <definedNames/>
  <calcPr fullCalcOnLoad="1"/>
</workbook>
</file>

<file path=xl/sharedStrings.xml><?xml version="1.0" encoding="utf-8"?>
<sst xmlns="http://schemas.openxmlformats.org/spreadsheetml/2006/main" count="3536" uniqueCount="200">
  <si>
    <t>Адреса домов</t>
  </si>
  <si>
    <t>Начислено населению</t>
  </si>
  <si>
    <t>Оплачено населением</t>
  </si>
  <si>
    <t>Перечислено поставщику</t>
  </si>
  <si>
    <t>Выполнено поставщиком</t>
  </si>
  <si>
    <t>Водоканал</t>
  </si>
  <si>
    <t>Канализация</t>
  </si>
  <si>
    <t>Хол. Вода</t>
  </si>
  <si>
    <t>Виды слуг и постав    щики</t>
  </si>
  <si>
    <t>руб</t>
  </si>
  <si>
    <t>Отопление</t>
  </si>
  <si>
    <t>Энергосбыт</t>
  </si>
  <si>
    <t>Гор. Вода</t>
  </si>
  <si>
    <t>Сахатранснефтнгаз</t>
  </si>
  <si>
    <t>Газ</t>
  </si>
  <si>
    <t>ВДГО</t>
  </si>
  <si>
    <t>Вывоз мусора</t>
  </si>
  <si>
    <t>Авангард</t>
  </si>
  <si>
    <t>Содер. дв.тер.</t>
  </si>
  <si>
    <t>Уборк.л/кл.</t>
  </si>
  <si>
    <t>ПКФ Мега-плюс</t>
  </si>
  <si>
    <t>Тех.эл/оборуд</t>
  </si>
  <si>
    <t>Энеко-инжиниринг</t>
  </si>
  <si>
    <t>УК "ЖКХ Губинский"</t>
  </si>
  <si>
    <t>Радио</t>
  </si>
  <si>
    <t>РСК "Стерх"</t>
  </si>
  <si>
    <t>Добр.страх.</t>
  </si>
  <si>
    <t>Домофон</t>
  </si>
  <si>
    <t>Тех.освидетельствование лифтов</t>
  </si>
  <si>
    <t>ЗАО Лифтремонт</t>
  </si>
  <si>
    <t>Тех.обслуживание лифтов</t>
  </si>
  <si>
    <t>Экспоцентр</t>
  </si>
  <si>
    <t>Самообслуживание</t>
  </si>
  <si>
    <t>Тех.обсл лифтов</t>
  </si>
  <si>
    <t>тех.обсл лифтов</t>
  </si>
  <si>
    <t>нет</t>
  </si>
  <si>
    <t>газ</t>
  </si>
  <si>
    <t>ООО Дом-Строй</t>
  </si>
  <si>
    <t>софинансирование кап.ремонта, антенна, содержание собак</t>
  </si>
  <si>
    <t>ООО Компания Визит</t>
  </si>
  <si>
    <t>обслуж. мусоропров.</t>
  </si>
  <si>
    <t>Управ.домом</t>
  </si>
  <si>
    <t>Тех.освидетел лифтов</t>
  </si>
  <si>
    <t>Тех.обслуж</t>
  </si>
  <si>
    <t>Электр.домоф</t>
  </si>
  <si>
    <t>Очистка</t>
  </si>
  <si>
    <t>Гагаринский округ</t>
  </si>
  <si>
    <t>канализация</t>
  </si>
  <si>
    <t>Всего</t>
  </si>
  <si>
    <t>ЗАО Домофон сервис</t>
  </si>
  <si>
    <t>Ленина 34</t>
  </si>
  <si>
    <t>Ленина 36</t>
  </si>
  <si>
    <t>Ленина 38</t>
  </si>
  <si>
    <t>Октябрьский округ</t>
  </si>
  <si>
    <t>Вита 2</t>
  </si>
  <si>
    <t>радио</t>
  </si>
  <si>
    <t>Ленина 23</t>
  </si>
  <si>
    <t>Ленина 25</t>
  </si>
  <si>
    <t>Ленина 29</t>
  </si>
  <si>
    <t>Ленина 27/1</t>
  </si>
  <si>
    <t>Ярославского 24</t>
  </si>
  <si>
    <t>Ярославского 28</t>
  </si>
  <si>
    <t>МУП Теплоэнергия</t>
  </si>
  <si>
    <t>Ленина 35</t>
  </si>
  <si>
    <t>Ленина 37</t>
  </si>
  <si>
    <t>Ярославского 30/2</t>
  </si>
  <si>
    <t>Ярославского 30/1</t>
  </si>
  <si>
    <t>Ленина 42</t>
  </si>
  <si>
    <t>Ленина 44</t>
  </si>
  <si>
    <t>Октябрьская 5</t>
  </si>
  <si>
    <t>Лермонтова 35/1</t>
  </si>
  <si>
    <t>Лермонтова 35/2</t>
  </si>
  <si>
    <t>Лермонтова 35/3</t>
  </si>
  <si>
    <t>П.Алексеева 21</t>
  </si>
  <si>
    <t>П.Алексеева 21/1</t>
  </si>
  <si>
    <t>П.Алексеева 21/2</t>
  </si>
  <si>
    <t>П.Алексеева 21/3</t>
  </si>
  <si>
    <t>П.Алексеева 21/4</t>
  </si>
  <si>
    <t>П.Алексеева 27/1</t>
  </si>
  <si>
    <t>Центральный округ</t>
  </si>
  <si>
    <t>Кирова 7/2</t>
  </si>
  <si>
    <t>Кирова 7/3</t>
  </si>
  <si>
    <t>Кирова 7/4</t>
  </si>
  <si>
    <t>Кулаковского 4/1</t>
  </si>
  <si>
    <t>Кулаковского 4/2</t>
  </si>
  <si>
    <t>Кулаковского 4/3</t>
  </si>
  <si>
    <t>Кулаковского 12</t>
  </si>
  <si>
    <t>Чернышевского 22/1</t>
  </si>
  <si>
    <t>Чернышевского 22/2</t>
  </si>
  <si>
    <t>Ярославского 32</t>
  </si>
  <si>
    <t>Ярославского 35</t>
  </si>
  <si>
    <t>Ярославского 39</t>
  </si>
  <si>
    <t>Ярославского 39/1</t>
  </si>
  <si>
    <t>Ярославского 41</t>
  </si>
  <si>
    <t>Сергеляхское шоссе 1</t>
  </si>
  <si>
    <t>Чернышевского 118</t>
  </si>
  <si>
    <t>Чернышевского 118/1</t>
  </si>
  <si>
    <t>ЯГСХ</t>
  </si>
  <si>
    <t>Водоканал (КНС Канакор)</t>
  </si>
  <si>
    <t>Долг на 01.01.11г.</t>
  </si>
  <si>
    <t>ИП Захаров</t>
  </si>
  <si>
    <t>Долг на 01.01.12г.</t>
  </si>
  <si>
    <t>установка по приборам учета</t>
  </si>
  <si>
    <t>Ресурс-Контроль</t>
  </si>
  <si>
    <t>установка прибора учета</t>
  </si>
  <si>
    <t>Ресурс-контроль</t>
  </si>
  <si>
    <t>установка приборов учета</t>
  </si>
  <si>
    <t>Чернышевского 118/3</t>
  </si>
  <si>
    <t>Покровский тр. 4 км. 1</t>
  </si>
  <si>
    <t>Покровский тр. 4 км. 2</t>
  </si>
  <si>
    <t>ФГУП РТРС РТПЦ</t>
  </si>
  <si>
    <t>ООО ПКФ Мега-плюс</t>
  </si>
  <si>
    <t>Долг на 01.01.13г.</t>
  </si>
  <si>
    <t>ООО ПКФ "Мега-плюс"</t>
  </si>
  <si>
    <t>ООО Ресурс Контроль</t>
  </si>
  <si>
    <t>Консьерж</t>
  </si>
  <si>
    <t>Дзержинского 7</t>
  </si>
  <si>
    <t>Дзержинского 7/1</t>
  </si>
  <si>
    <t>ЖКХ Губинский</t>
  </si>
  <si>
    <t>ТСЖ Луч</t>
  </si>
  <si>
    <t>управление ТСЖ</t>
  </si>
  <si>
    <t>Лермонтова 58/2</t>
  </si>
  <si>
    <t>Хол. Вода на ОДН</t>
  </si>
  <si>
    <t>МУП ЯПАК</t>
  </si>
  <si>
    <t>Гор. Вода на ОДН</t>
  </si>
  <si>
    <t>эл-во на ОДН</t>
  </si>
  <si>
    <t>Орджоникидзе 33</t>
  </si>
  <si>
    <t>Орджоникидзе 35</t>
  </si>
  <si>
    <t>Орджоникидзе 37</t>
  </si>
  <si>
    <t>Орджоникидзе 39</t>
  </si>
  <si>
    <t>Орджоникидзе 45</t>
  </si>
  <si>
    <t>Орджоникидзе 45/1</t>
  </si>
  <si>
    <t>Эл/эн на ОДН</t>
  </si>
  <si>
    <t>ООО ПКФ Мега Плюс</t>
  </si>
  <si>
    <t>Электр.лифт. ОДН</t>
  </si>
  <si>
    <t>эл/эн на ОДН</t>
  </si>
  <si>
    <t>Гор.вода ОДН</t>
  </si>
  <si>
    <t>ЗАО  Лифтремонт</t>
  </si>
  <si>
    <t>Хол. Вода ОДН</t>
  </si>
  <si>
    <t>Гор. Вода ОДН</t>
  </si>
  <si>
    <t>ООО ПКФ Мега+</t>
  </si>
  <si>
    <t>Эл мест общ польз ОДН</t>
  </si>
  <si>
    <t>ИП Яковлев Ю.П.</t>
  </si>
  <si>
    <t>Тех. Обслуж ОПУ</t>
  </si>
  <si>
    <t>Тех.обслуж ОПУ ГВС</t>
  </si>
  <si>
    <t>Тех.обслуж ОПУ ТЭ</t>
  </si>
  <si>
    <t>Тех.обслуж ОПУ ХВС</t>
  </si>
  <si>
    <t>Утил.ртуть содер.ламп</t>
  </si>
  <si>
    <t>ИП Яковлев Ю.П</t>
  </si>
  <si>
    <t>Утилиз ртуть содерж ламп</t>
  </si>
  <si>
    <t>Тех. Обслуж ОПУ ХВС</t>
  </si>
  <si>
    <t>Утилиз ртуть. содерж ламп</t>
  </si>
  <si>
    <t>Тех обслуж ОПУ ТЭ</t>
  </si>
  <si>
    <t>Тех обслуж ОПУ ХВС</t>
  </si>
  <si>
    <t>Ук "ЖКХ Губинский"</t>
  </si>
  <si>
    <t>Эл лифт обор. ОДН</t>
  </si>
  <si>
    <t>Долг на 01.01.15г.</t>
  </si>
  <si>
    <t>Утилиз ртуть содер. Ламп</t>
  </si>
  <si>
    <t>ЗАО Домофон Сервис</t>
  </si>
  <si>
    <t>Б. Марлинского 22/2</t>
  </si>
  <si>
    <t>Долг на 01.01.16г.</t>
  </si>
  <si>
    <t>ООО Ресурс-контроль</t>
  </si>
  <si>
    <t>очистка</t>
  </si>
  <si>
    <t>Эл/эн на  ОДН</t>
  </si>
  <si>
    <t>Эл/лифт на ОДН</t>
  </si>
  <si>
    <t>Тех обслуж ОПУ, ГВС</t>
  </si>
  <si>
    <t>Тех. Обслуж ОПУ, ГВС</t>
  </si>
  <si>
    <t>Долг на 01.01.17г.</t>
  </si>
  <si>
    <t>Консъерж</t>
  </si>
  <si>
    <t>Сергеляхское шоссе 3 км 1/1</t>
  </si>
  <si>
    <t>Пояркова 6</t>
  </si>
  <si>
    <t>электроэнергия</t>
  </si>
  <si>
    <t>ООО Вита 2</t>
  </si>
  <si>
    <t>обслуживание лифтов</t>
  </si>
  <si>
    <t>ЗАО Домофон-сервис</t>
  </si>
  <si>
    <t>Долг на 01.01.18г.</t>
  </si>
  <si>
    <t>ООО Одун Сервис</t>
  </si>
  <si>
    <t>ЗАО Домофон-Сервис</t>
  </si>
  <si>
    <t>квартал 59</t>
  </si>
  <si>
    <t>квартал 51</t>
  </si>
  <si>
    <t>квартал 136</t>
  </si>
  <si>
    <t>квартал 33</t>
  </si>
  <si>
    <t>квартал В</t>
  </si>
  <si>
    <t>квартал 130</t>
  </si>
  <si>
    <t>квартал 62</t>
  </si>
  <si>
    <t>квартал 61</t>
  </si>
  <si>
    <t>квартал 60</t>
  </si>
  <si>
    <r>
      <t>квартал</t>
    </r>
    <r>
      <rPr>
        <b/>
        <sz val="11"/>
        <rFont val="Arial Cyr"/>
        <family val="0"/>
      </rPr>
      <t xml:space="preserve"> Приипподромный</t>
    </r>
  </si>
  <si>
    <t>Итого коммунальные услуги:</t>
  </si>
  <si>
    <t>Итого жилищные услуги:</t>
  </si>
  <si>
    <t>Итого прочие услуги:</t>
  </si>
  <si>
    <t>Виды слуг и поставщики</t>
  </si>
  <si>
    <t>Итого Все услуги:</t>
  </si>
  <si>
    <t>Страхование лифтов</t>
  </si>
  <si>
    <t>УК ЖКХ Губинский</t>
  </si>
  <si>
    <t>освидетельствование лифтов</t>
  </si>
  <si>
    <t>страхование лифтов</t>
  </si>
  <si>
    <t>Ф. Попова 14/4*</t>
  </si>
  <si>
    <t>Отчет УК"ЖКХ Губинский " за 2018 год</t>
  </si>
  <si>
    <t>Долг на 01.01.19г.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</si>
</sst>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.00_);_(* \(#,##0.00\);_(* &quot;-&quot;??_);_(@_)"/>
    <numFmt numFmtId="174" formatCode="#,##0.0"/>
    <numFmt numFmtId="175" formatCode="0.000"/>
    <numFmt numFmtId="176" formatCode="_-* #,##0.0_р_._-;\-* #,##0.0_р_._-;_-* &quot;-&quot;??_р_._-;_-@_-"/>
    <numFmt numFmtId="177" formatCode="_-* #,##0_р_._-;\-* #,##0_р_._-;_-* &quot;-&quot;??_р_._-;_-@_-"/>
    <numFmt numFmtId="178" formatCode="#,##0_ ;\-#,##0\ "/>
    <numFmt numFmtId="179" formatCode="#,##0.0_ ;\-#,##0.0\ "/>
    <numFmt numFmtId="180" formatCode="#,##0.00_ ;\-#,##0.00\ 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2"/>
    </font>
    <font>
      <sz val="8"/>
      <color indexed="30"/>
      <name val="Arial Cyr"/>
      <family val="2"/>
    </font>
    <font>
      <i/>
      <sz val="10"/>
      <color indexed="3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5" fillId="16" borderId="0">
      <alignment horizontal="center" vertical="top"/>
      <protection/>
    </xf>
    <xf numFmtId="0" fontId="5" fillId="16" borderId="0">
      <alignment horizontal="center" vertical="center"/>
      <protection/>
    </xf>
    <xf numFmtId="0" fontId="7" fillId="16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5" fillId="16" borderId="0">
      <alignment horizontal="center" vertical="center"/>
      <protection/>
    </xf>
    <xf numFmtId="0" fontId="7" fillId="16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7" fillId="18" borderId="0">
      <alignment horizontal="center" vertical="center" textRotation="90"/>
      <protection/>
    </xf>
    <xf numFmtId="0" fontId="7" fillId="16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7" fillId="18" borderId="0">
      <alignment horizontal="center" vertical="center" textRotation="90"/>
      <protection/>
    </xf>
    <xf numFmtId="0" fontId="7" fillId="16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8" fillId="6" borderId="0">
      <alignment horizontal="center" vertical="center"/>
      <protection/>
    </xf>
    <xf numFmtId="0" fontId="7" fillId="16" borderId="0">
      <alignment horizontal="center" vertical="center"/>
      <protection/>
    </xf>
    <xf numFmtId="0" fontId="7" fillId="18" borderId="0">
      <alignment horizontal="center" vertical="center" textRotation="90"/>
      <protection/>
    </xf>
    <xf numFmtId="0" fontId="8" fillId="6" borderId="0">
      <alignment horizontal="center" vertical="center"/>
      <protection/>
    </xf>
    <xf numFmtId="0" fontId="7" fillId="18" borderId="0">
      <alignment horizontal="center" vertical="center" textRotation="90"/>
      <protection/>
    </xf>
    <xf numFmtId="0" fontId="8" fillId="6" borderId="0">
      <alignment horizontal="center" vertical="center"/>
      <protection/>
    </xf>
    <xf numFmtId="0" fontId="7" fillId="18" borderId="0">
      <alignment horizontal="center" vertical="center" textRotation="90"/>
      <protection/>
    </xf>
    <xf numFmtId="0" fontId="8" fillId="6" borderId="0">
      <alignment horizontal="center" vertical="center"/>
      <protection/>
    </xf>
    <xf numFmtId="0" fontId="7" fillId="18" borderId="0">
      <alignment horizontal="center" vertical="center" textRotation="90"/>
      <protection/>
    </xf>
    <xf numFmtId="0" fontId="6" fillId="17" borderId="0">
      <alignment horizontal="center" vertical="center" textRotation="90"/>
      <protection/>
    </xf>
    <xf numFmtId="0" fontId="7" fillId="16" borderId="0">
      <alignment horizontal="right" vertical="top"/>
      <protection/>
    </xf>
    <xf numFmtId="0" fontId="7" fillId="16" borderId="0">
      <alignment horizontal="right" vertical="top"/>
      <protection/>
    </xf>
    <xf numFmtId="0" fontId="5" fillId="16" borderId="0">
      <alignment horizontal="left" vertical="top"/>
      <protection/>
    </xf>
    <xf numFmtId="0" fontId="6" fillId="16" borderId="0">
      <alignment horizontal="left" vertical="top"/>
      <protection/>
    </xf>
    <xf numFmtId="0" fontId="5" fillId="16" borderId="0">
      <alignment horizontal="right" vertical="top"/>
      <protection/>
    </xf>
    <xf numFmtId="0" fontId="6" fillId="16" borderId="0">
      <alignment horizontal="center" vertical="top"/>
      <protection/>
    </xf>
    <xf numFmtId="0" fontId="7" fillId="18" borderId="0">
      <alignment horizontal="center" vertical="center"/>
      <protection/>
    </xf>
    <xf numFmtId="0" fontId="6" fillId="16" borderId="0">
      <alignment horizontal="right" vertical="top"/>
      <protection/>
    </xf>
    <xf numFmtId="0" fontId="8" fillId="18" borderId="0">
      <alignment horizontal="center" vertical="center"/>
      <protection/>
    </xf>
    <xf numFmtId="0" fontId="7" fillId="18" borderId="0">
      <alignment horizontal="center" vertical="center"/>
      <protection/>
    </xf>
    <xf numFmtId="0" fontId="7" fillId="18" borderId="0">
      <alignment horizontal="center" vertical="center" textRotation="90"/>
      <protection/>
    </xf>
    <xf numFmtId="0" fontId="8" fillId="18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7" fillId="18" borderId="0">
      <alignment horizontal="center" vertical="center" textRotation="90"/>
      <protection/>
    </xf>
    <xf numFmtId="0" fontId="7" fillId="16" borderId="0">
      <alignment horizontal="center" vertical="center"/>
      <protection/>
    </xf>
    <xf numFmtId="0" fontId="6" fillId="17" borderId="0">
      <alignment horizontal="center" vertical="center" textRotation="90"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5" fillId="7" borderId="1" applyNumberFormat="0" applyAlignment="0" applyProtection="0"/>
    <xf numFmtId="0" fontId="16" fillId="18" borderId="2" applyNumberFormat="0" applyAlignment="0" applyProtection="0"/>
    <xf numFmtId="0" fontId="17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1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2" fillId="26" borderId="18" xfId="0" applyFont="1" applyFill="1" applyBorder="1" applyAlignment="1">
      <alignment horizontal="center" vertical="center" textRotation="90" wrapText="1"/>
    </xf>
    <xf numFmtId="0" fontId="2" fillId="26" borderId="19" xfId="0" applyFont="1" applyFill="1" applyBorder="1" applyAlignment="1">
      <alignment horizontal="center" vertical="center" textRotation="90" wrapText="1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7" borderId="16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16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7" borderId="16" xfId="0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9" xfId="0" applyFont="1" applyBorder="1" applyAlignment="1">
      <alignment vertical="center" textRotation="90" wrapText="1"/>
    </xf>
    <xf numFmtId="0" fontId="2" fillId="26" borderId="19" xfId="0" applyFont="1" applyFill="1" applyBorder="1" applyAlignment="1">
      <alignment vertical="center" textRotation="90"/>
    </xf>
    <xf numFmtId="0" fontId="2" fillId="26" borderId="26" xfId="0" applyFont="1" applyFill="1" applyBorder="1" applyAlignment="1">
      <alignment vertical="center" textRotation="90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 textRotation="90"/>
    </xf>
    <xf numFmtId="0" fontId="2" fillId="0" borderId="2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27" xfId="0" applyFont="1" applyBorder="1" applyAlignment="1">
      <alignment/>
    </xf>
    <xf numFmtId="177" fontId="2" fillId="0" borderId="0" xfId="0" applyNumberFormat="1" applyFont="1" applyAlignment="1">
      <alignment/>
    </xf>
    <xf numFmtId="4" fontId="31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2" fillId="0" borderId="10" xfId="101" applyNumberFormat="1" applyFont="1" applyBorder="1" applyAlignment="1">
      <alignment horizontal="right"/>
    </xf>
    <xf numFmtId="178" fontId="5" fillId="16" borderId="28" xfId="101" applyNumberFormat="1" applyFont="1" applyFill="1" applyBorder="1" applyAlignment="1" quotePrefix="1">
      <alignment horizontal="right" vertical="center" wrapText="1"/>
    </xf>
    <xf numFmtId="178" fontId="5" fillId="16" borderId="11" xfId="101" applyNumberFormat="1" applyFont="1" applyFill="1" applyBorder="1" applyAlignment="1" quotePrefix="1">
      <alignment horizontal="right" vertical="center" wrapText="1"/>
    </xf>
    <xf numFmtId="178" fontId="2" fillId="0" borderId="29" xfId="101" applyNumberFormat="1" applyFont="1" applyBorder="1" applyAlignment="1">
      <alignment horizontal="right"/>
    </xf>
    <xf numFmtId="178" fontId="2" fillId="0" borderId="26" xfId="101" applyNumberFormat="1" applyFont="1" applyBorder="1" applyAlignment="1">
      <alignment horizontal="right"/>
    </xf>
    <xf numFmtId="178" fontId="2" fillId="0" borderId="26" xfId="101" applyNumberFormat="1" applyFont="1" applyBorder="1" applyAlignment="1">
      <alignment horizontal="right"/>
    </xf>
    <xf numFmtId="178" fontId="0" fillId="0" borderId="10" xfId="101" applyNumberFormat="1" applyFont="1" applyBorder="1" applyAlignment="1">
      <alignment horizontal="right"/>
    </xf>
    <xf numFmtId="178" fontId="2" fillId="0" borderId="18" xfId="101" applyNumberFormat="1" applyFont="1" applyBorder="1" applyAlignment="1">
      <alignment horizontal="right"/>
    </xf>
    <xf numFmtId="178" fontId="2" fillId="0" borderId="30" xfId="101" applyNumberFormat="1" applyFont="1" applyBorder="1" applyAlignment="1">
      <alignment horizontal="right"/>
    </xf>
    <xf numFmtId="178" fontId="2" fillId="0" borderId="31" xfId="101" applyNumberFormat="1" applyFont="1" applyBorder="1" applyAlignment="1">
      <alignment horizontal="right"/>
    </xf>
    <xf numFmtId="178" fontId="2" fillId="0" borderId="32" xfId="101" applyNumberFormat="1" applyFont="1" applyBorder="1" applyAlignment="1">
      <alignment horizontal="right"/>
    </xf>
    <xf numFmtId="178" fontId="2" fillId="0" borderId="30" xfId="101" applyNumberFormat="1" applyFont="1" applyBorder="1" applyAlignment="1">
      <alignment horizontal="right"/>
    </xf>
    <xf numFmtId="178" fontId="0" fillId="0" borderId="28" xfId="101" applyNumberFormat="1" applyFont="1" applyBorder="1" applyAlignment="1">
      <alignment horizontal="right"/>
    </xf>
    <xf numFmtId="178" fontId="0" fillId="0" borderId="11" xfId="101" applyNumberFormat="1" applyFont="1" applyBorder="1" applyAlignment="1">
      <alignment horizontal="right"/>
    </xf>
    <xf numFmtId="178" fontId="0" fillId="0" borderId="26" xfId="101" applyNumberFormat="1" applyFont="1" applyBorder="1" applyAlignment="1">
      <alignment horizontal="right"/>
    </xf>
    <xf numFmtId="178" fontId="0" fillId="0" borderId="10" xfId="101" applyNumberFormat="1" applyFont="1" applyBorder="1" applyAlignment="1">
      <alignment horizontal="right"/>
    </xf>
    <xf numFmtId="178" fontId="0" fillId="7" borderId="10" xfId="101" applyNumberFormat="1" applyFont="1" applyFill="1" applyBorder="1" applyAlignment="1">
      <alignment horizontal="right"/>
    </xf>
    <xf numFmtId="178" fontId="2" fillId="7" borderId="10" xfId="101" applyNumberFormat="1" applyFont="1" applyFill="1" applyBorder="1" applyAlignment="1">
      <alignment horizontal="right"/>
    </xf>
    <xf numFmtId="178" fontId="0" fillId="0" borderId="18" xfId="101" applyNumberFormat="1" applyFont="1" applyBorder="1" applyAlignment="1">
      <alignment horizontal="right"/>
    </xf>
    <xf numFmtId="178" fontId="0" fillId="0" borderId="33" xfId="101" applyNumberFormat="1" applyFont="1" applyBorder="1" applyAlignment="1">
      <alignment horizontal="right"/>
    </xf>
    <xf numFmtId="178" fontId="0" fillId="0" borderId="19" xfId="101" applyNumberFormat="1" applyFont="1" applyBorder="1" applyAlignment="1">
      <alignment horizontal="right"/>
    </xf>
    <xf numFmtId="178" fontId="0" fillId="0" borderId="34" xfId="101" applyNumberFormat="1" applyFont="1" applyBorder="1" applyAlignment="1">
      <alignment horizontal="right"/>
    </xf>
    <xf numFmtId="178" fontId="0" fillId="0" borderId="35" xfId="101" applyNumberFormat="1" applyFont="1" applyBorder="1" applyAlignment="1">
      <alignment horizontal="right"/>
    </xf>
    <xf numFmtId="178" fontId="0" fillId="0" borderId="36" xfId="101" applyNumberFormat="1" applyFont="1" applyBorder="1" applyAlignment="1">
      <alignment horizontal="right"/>
    </xf>
    <xf numFmtId="178" fontId="2" fillId="0" borderId="12" xfId="101" applyNumberFormat="1" applyFont="1" applyBorder="1" applyAlignment="1">
      <alignment horizontal="right"/>
    </xf>
    <xf numFmtId="178" fontId="2" fillId="0" borderId="11" xfId="101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178" fontId="0" fillId="16" borderId="10" xfId="0" applyNumberFormat="1" applyFont="1" applyFill="1" applyBorder="1" applyAlignment="1">
      <alignment/>
    </xf>
    <xf numFmtId="178" fontId="2" fillId="16" borderId="10" xfId="0" applyNumberFormat="1" applyFont="1" applyFill="1" applyBorder="1" applyAlignment="1">
      <alignment/>
    </xf>
    <xf numFmtId="178" fontId="0" fillId="0" borderId="39" xfId="101" applyNumberFormat="1" applyFont="1" applyBorder="1" applyAlignment="1">
      <alignment horizontal="right"/>
    </xf>
    <xf numFmtId="178" fontId="0" fillId="0" borderId="40" xfId="101" applyNumberFormat="1" applyFont="1" applyBorder="1" applyAlignment="1">
      <alignment horizontal="right"/>
    </xf>
    <xf numFmtId="178" fontId="0" fillId="0" borderId="34" xfId="101" applyNumberFormat="1" applyFont="1" applyBorder="1" applyAlignment="1">
      <alignment horizontal="right"/>
    </xf>
    <xf numFmtId="178" fontId="2" fillId="0" borderId="34" xfId="101" applyNumberFormat="1" applyFont="1" applyBorder="1" applyAlignment="1">
      <alignment horizontal="right"/>
    </xf>
    <xf numFmtId="178" fontId="2" fillId="0" borderId="33" xfId="101" applyNumberFormat="1" applyFont="1" applyBorder="1" applyAlignment="1">
      <alignment horizontal="right"/>
    </xf>
    <xf numFmtId="178" fontId="2" fillId="0" borderId="33" xfId="101" applyNumberFormat="1" applyFont="1" applyBorder="1" applyAlignment="1">
      <alignment horizontal="right"/>
    </xf>
    <xf numFmtId="178" fontId="0" fillId="0" borderId="33" xfId="101" applyNumberFormat="1" applyFont="1" applyBorder="1" applyAlignment="1">
      <alignment horizontal="right"/>
    </xf>
    <xf numFmtId="178" fontId="2" fillId="0" borderId="41" xfId="101" applyNumberFormat="1" applyFont="1" applyBorder="1" applyAlignment="1">
      <alignment horizontal="right"/>
    </xf>
    <xf numFmtId="178" fontId="2" fillId="0" borderId="35" xfId="101" applyNumberFormat="1" applyFont="1" applyBorder="1" applyAlignment="1">
      <alignment horizontal="right"/>
    </xf>
    <xf numFmtId="178" fontId="2" fillId="0" borderId="35" xfId="101" applyNumberFormat="1" applyFont="1" applyBorder="1" applyAlignment="1">
      <alignment horizontal="right"/>
    </xf>
    <xf numFmtId="178" fontId="0" fillId="7" borderId="11" xfId="101" applyNumberFormat="1" applyFont="1" applyFill="1" applyBorder="1" applyAlignment="1">
      <alignment horizontal="right"/>
    </xf>
    <xf numFmtId="178" fontId="0" fillId="7" borderId="36" xfId="101" applyNumberFormat="1" applyFont="1" applyFill="1" applyBorder="1" applyAlignment="1">
      <alignment horizontal="right"/>
    </xf>
    <xf numFmtId="178" fontId="9" fillId="16" borderId="34" xfId="101" applyNumberFormat="1" applyFont="1" applyFill="1" applyBorder="1" applyAlignment="1" quotePrefix="1">
      <alignment horizontal="right" vertical="center" wrapText="1"/>
    </xf>
    <xf numFmtId="178" fontId="9" fillId="16" borderId="40" xfId="101" applyNumberFormat="1" applyFont="1" applyFill="1" applyBorder="1" applyAlignment="1" quotePrefix="1">
      <alignment horizontal="right" vertical="center" wrapText="1"/>
    </xf>
    <xf numFmtId="178" fontId="9" fillId="16" borderId="33" xfId="101" applyNumberFormat="1" applyFont="1" applyFill="1" applyBorder="1" applyAlignment="1" quotePrefix="1">
      <alignment horizontal="right" vertical="center" wrapText="1"/>
    </xf>
    <xf numFmtId="178" fontId="0" fillId="7" borderId="39" xfId="101" applyNumberFormat="1" applyFont="1" applyFill="1" applyBorder="1" applyAlignment="1">
      <alignment horizontal="right"/>
    </xf>
    <xf numFmtId="178" fontId="0" fillId="7" borderId="33" xfId="101" applyNumberFormat="1" applyFont="1" applyFill="1" applyBorder="1" applyAlignment="1">
      <alignment horizontal="right"/>
    </xf>
    <xf numFmtId="178" fontId="2" fillId="7" borderId="33" xfId="101" applyNumberFormat="1" applyFont="1" applyFill="1" applyBorder="1" applyAlignment="1">
      <alignment horizontal="right"/>
    </xf>
    <xf numFmtId="178" fontId="0" fillId="7" borderId="42" xfId="101" applyNumberFormat="1" applyFont="1" applyFill="1" applyBorder="1" applyAlignment="1">
      <alignment horizontal="right"/>
    </xf>
    <xf numFmtId="178" fontId="0" fillId="7" borderId="43" xfId="101" applyNumberFormat="1" applyFont="1" applyFill="1" applyBorder="1" applyAlignment="1">
      <alignment horizontal="right"/>
    </xf>
    <xf numFmtId="178" fontId="2" fillId="7" borderId="29" xfId="101" applyNumberFormat="1" applyFont="1" applyFill="1" applyBorder="1" applyAlignment="1">
      <alignment horizontal="right"/>
    </xf>
    <xf numFmtId="178" fontId="2" fillId="7" borderId="44" xfId="101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78" fontId="2" fillId="0" borderId="11" xfId="101" applyNumberFormat="1" applyFont="1" applyBorder="1" applyAlignment="1">
      <alignment horizontal="right"/>
    </xf>
    <xf numFmtId="178" fontId="0" fillId="0" borderId="11" xfId="101" applyNumberFormat="1" applyFont="1" applyBorder="1" applyAlignment="1">
      <alignment horizontal="right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178" fontId="9" fillId="16" borderId="11" xfId="101" applyNumberFormat="1" applyFont="1" applyFill="1" applyBorder="1" applyAlignment="1" quotePrefix="1">
      <alignment horizontal="right" vertical="center" wrapText="1"/>
    </xf>
    <xf numFmtId="178" fontId="2" fillId="0" borderId="12" xfId="101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178" fontId="5" fillId="16" borderId="42" xfId="101" applyNumberFormat="1" applyFont="1" applyFill="1" applyBorder="1" applyAlignment="1" quotePrefix="1">
      <alignment horizontal="right" vertical="center" wrapText="1"/>
    </xf>
    <xf numFmtId="178" fontId="0" fillId="0" borderId="45" xfId="101" applyNumberFormat="1" applyFont="1" applyBorder="1" applyAlignment="1">
      <alignment horizontal="right"/>
    </xf>
    <xf numFmtId="178" fontId="0" fillId="0" borderId="43" xfId="101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178" fontId="2" fillId="0" borderId="44" xfId="101" applyNumberFormat="1" applyFont="1" applyBorder="1" applyAlignment="1">
      <alignment horizontal="right"/>
    </xf>
    <xf numFmtId="178" fontId="0" fillId="0" borderId="46" xfId="101" applyNumberFormat="1" applyFont="1" applyBorder="1" applyAlignment="1">
      <alignment horizontal="right"/>
    </xf>
    <xf numFmtId="0" fontId="2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178" fontId="2" fillId="0" borderId="50" xfId="101" applyNumberFormat="1" applyFont="1" applyBorder="1" applyAlignment="1">
      <alignment horizontal="right"/>
    </xf>
    <xf numFmtId="178" fontId="2" fillId="7" borderId="45" xfId="101" applyNumberFormat="1" applyFont="1" applyFill="1" applyBorder="1" applyAlignment="1">
      <alignment horizontal="right"/>
    </xf>
    <xf numFmtId="0" fontId="2" fillId="7" borderId="29" xfId="0" applyFont="1" applyFill="1" applyBorder="1" applyAlignment="1">
      <alignment/>
    </xf>
    <xf numFmtId="178" fontId="0" fillId="0" borderId="28" xfId="101" applyNumberFormat="1" applyFont="1" applyBorder="1" applyAlignment="1">
      <alignment horizontal="right"/>
    </xf>
    <xf numFmtId="178" fontId="0" fillId="0" borderId="45" xfId="101" applyNumberFormat="1" applyFont="1" applyFill="1" applyBorder="1" applyAlignment="1">
      <alignment horizontal="right"/>
    </xf>
    <xf numFmtId="178" fontId="0" fillId="0" borderId="43" xfId="101" applyNumberFormat="1" applyFont="1" applyFill="1" applyBorder="1" applyAlignment="1">
      <alignment horizontal="right"/>
    </xf>
    <xf numFmtId="178" fontId="0" fillId="7" borderId="45" xfId="101" applyNumberFormat="1" applyFont="1" applyFill="1" applyBorder="1" applyAlignment="1">
      <alignment horizontal="right"/>
    </xf>
    <xf numFmtId="178" fontId="0" fillId="0" borderId="42" xfId="101" applyNumberFormat="1" applyFont="1" applyBorder="1" applyAlignment="1">
      <alignment horizontal="right"/>
    </xf>
    <xf numFmtId="178" fontId="5" fillId="16" borderId="28" xfId="101" applyNumberFormat="1" applyFont="1" applyFill="1" applyBorder="1" applyAlignment="1" quotePrefix="1">
      <alignment horizontal="right" vertical="center" wrapText="1"/>
    </xf>
    <xf numFmtId="178" fontId="5" fillId="16" borderId="11" xfId="101" applyNumberFormat="1" applyFont="1" applyFill="1" applyBorder="1" applyAlignment="1" quotePrefix="1">
      <alignment horizontal="right" vertical="center" wrapText="1"/>
    </xf>
    <xf numFmtId="178" fontId="0" fillId="0" borderId="34" xfId="101" applyNumberFormat="1" applyFont="1" applyBorder="1" applyAlignment="1">
      <alignment horizontal="right"/>
    </xf>
    <xf numFmtId="178" fontId="0" fillId="0" borderId="33" xfId="101" applyNumberFormat="1" applyFont="1" applyBorder="1" applyAlignment="1">
      <alignment horizontal="right"/>
    </xf>
    <xf numFmtId="178" fontId="0" fillId="0" borderId="41" xfId="101" applyNumberFormat="1" applyFont="1" applyBorder="1" applyAlignment="1">
      <alignment horizontal="right"/>
    </xf>
    <xf numFmtId="178" fontId="2" fillId="0" borderId="51" xfId="101" applyNumberFormat="1" applyFont="1" applyBorder="1" applyAlignment="1">
      <alignment horizontal="right"/>
    </xf>
    <xf numFmtId="178" fontId="0" fillId="0" borderId="34" xfId="101" applyNumberFormat="1" applyFont="1" applyFill="1" applyBorder="1" applyAlignment="1">
      <alignment horizontal="right"/>
    </xf>
    <xf numFmtId="178" fontId="0" fillId="0" borderId="33" xfId="101" applyNumberFormat="1" applyFont="1" applyFill="1" applyBorder="1" applyAlignment="1">
      <alignment horizontal="right"/>
    </xf>
    <xf numFmtId="178" fontId="9" fillId="16" borderId="36" xfId="101" applyNumberFormat="1" applyFont="1" applyFill="1" applyBorder="1" applyAlignment="1" quotePrefix="1">
      <alignment horizontal="right" vertical="center" wrapText="1"/>
    </xf>
    <xf numFmtId="0" fontId="0" fillId="0" borderId="0" xfId="0" applyBorder="1" applyAlignment="1">
      <alignment/>
    </xf>
    <xf numFmtId="178" fontId="5" fillId="26" borderId="11" xfId="101" applyNumberFormat="1" applyFont="1" applyFill="1" applyBorder="1" applyAlignment="1" quotePrefix="1">
      <alignment horizontal="right" vertical="center" wrapText="1"/>
    </xf>
    <xf numFmtId="178" fontId="5" fillId="16" borderId="11" xfId="101" applyNumberFormat="1" applyFont="1" applyFill="1" applyBorder="1" applyAlignment="1" quotePrefix="1">
      <alignment horizontal="right" vertical="center" wrapText="1"/>
    </xf>
    <xf numFmtId="178" fontId="9" fillId="16" borderId="42" xfId="101" applyNumberFormat="1" applyFont="1" applyFill="1" applyBorder="1" applyAlignment="1" quotePrefix="1">
      <alignment horizontal="right" vertical="center" wrapText="1"/>
    </xf>
    <xf numFmtId="178" fontId="0" fillId="0" borderId="42" xfId="101" applyNumberFormat="1" applyFont="1" applyBorder="1" applyAlignment="1">
      <alignment horizontal="right"/>
    </xf>
    <xf numFmtId="178" fontId="5" fillId="16" borderId="42" xfId="101" applyNumberFormat="1" applyFont="1" applyFill="1" applyBorder="1" applyAlignment="1" quotePrefix="1">
      <alignment horizontal="right" vertical="center" wrapText="1"/>
    </xf>
    <xf numFmtId="178" fontId="2" fillId="7" borderId="39" xfId="101" applyNumberFormat="1" applyFont="1" applyFill="1" applyBorder="1" applyAlignment="1">
      <alignment horizontal="right"/>
    </xf>
    <xf numFmtId="178" fontId="2" fillId="7" borderId="30" xfId="101" applyNumberFormat="1" applyFont="1" applyFill="1" applyBorder="1" applyAlignment="1">
      <alignment horizontal="right"/>
    </xf>
    <xf numFmtId="178" fontId="2" fillId="7" borderId="30" xfId="101" applyNumberFormat="1" applyFont="1" applyFill="1" applyBorder="1" applyAlignment="1">
      <alignment horizontal="right"/>
    </xf>
    <xf numFmtId="178" fontId="5" fillId="16" borderId="36" xfId="101" applyNumberFormat="1" applyFont="1" applyFill="1" applyBorder="1" applyAlignment="1" quotePrefix="1">
      <alignment horizontal="right" vertical="center" wrapText="1"/>
    </xf>
    <xf numFmtId="178" fontId="5" fillId="16" borderId="33" xfId="101" applyNumberFormat="1" applyFont="1" applyFill="1" applyBorder="1" applyAlignment="1" quotePrefix="1">
      <alignment horizontal="right" vertical="center" wrapText="1"/>
    </xf>
    <xf numFmtId="178" fontId="11" fillId="16" borderId="30" xfId="101" applyNumberFormat="1" applyFont="1" applyFill="1" applyBorder="1" applyAlignment="1" quotePrefix="1">
      <alignment horizontal="right" vertical="center" wrapText="1"/>
    </xf>
    <xf numFmtId="178" fontId="11" fillId="16" borderId="33" xfId="101" applyNumberFormat="1" applyFont="1" applyFill="1" applyBorder="1" applyAlignment="1" quotePrefix="1">
      <alignment horizontal="right" vertical="center" wrapText="1"/>
    </xf>
    <xf numFmtId="178" fontId="5" fillId="16" borderId="52" xfId="101" applyNumberFormat="1" applyFont="1" applyFill="1" applyBorder="1" applyAlignment="1" quotePrefix="1">
      <alignment horizontal="right" vertical="center" wrapText="1"/>
    </xf>
    <xf numFmtId="178" fontId="5" fillId="16" borderId="53" xfId="101" applyNumberFormat="1" applyFont="1" applyFill="1" applyBorder="1" applyAlignment="1" quotePrefix="1">
      <alignment horizontal="right" vertical="center" wrapText="1"/>
    </xf>
    <xf numFmtId="178" fontId="11" fillId="16" borderId="51" xfId="101" applyNumberFormat="1" applyFont="1" applyFill="1" applyBorder="1" applyAlignment="1" quotePrefix="1">
      <alignment horizontal="right" vertical="center" wrapText="1"/>
    </xf>
    <xf numFmtId="178" fontId="5" fillId="16" borderId="54" xfId="101" applyNumberFormat="1" applyFont="1" applyFill="1" applyBorder="1" applyAlignment="1" quotePrefix="1">
      <alignment horizontal="right" vertical="center" wrapText="1"/>
    </xf>
    <xf numFmtId="178" fontId="2" fillId="0" borderId="55" xfId="101" applyNumberFormat="1" applyFont="1" applyBorder="1" applyAlignment="1">
      <alignment horizontal="right"/>
    </xf>
    <xf numFmtId="178" fontId="0" fillId="0" borderId="0" xfId="101" applyNumberFormat="1" applyFont="1" applyBorder="1" applyAlignment="1">
      <alignment horizontal="right"/>
    </xf>
    <xf numFmtId="178" fontId="0" fillId="24" borderId="33" xfId="101" applyNumberFormat="1" applyFont="1" applyFill="1" applyBorder="1" applyAlignment="1">
      <alignment horizontal="right"/>
    </xf>
    <xf numFmtId="178" fontId="0" fillId="24" borderId="34" xfId="101" applyNumberFormat="1" applyFont="1" applyFill="1" applyBorder="1" applyAlignment="1">
      <alignment horizontal="right"/>
    </xf>
    <xf numFmtId="178" fontId="0" fillId="11" borderId="33" xfId="101" applyNumberFormat="1" applyFont="1" applyFill="1" applyBorder="1" applyAlignment="1">
      <alignment horizontal="right"/>
    </xf>
    <xf numFmtId="178" fontId="2" fillId="11" borderId="30" xfId="101" applyNumberFormat="1" applyFont="1" applyFill="1" applyBorder="1" applyAlignment="1">
      <alignment horizontal="right"/>
    </xf>
    <xf numFmtId="178" fontId="2" fillId="11" borderId="33" xfId="101" applyNumberFormat="1" applyFont="1" applyFill="1" applyBorder="1" applyAlignment="1">
      <alignment horizontal="right"/>
    </xf>
    <xf numFmtId="178" fontId="0" fillId="0" borderId="36" xfId="101" applyNumberFormat="1" applyFont="1" applyFill="1" applyBorder="1" applyAlignment="1">
      <alignment horizontal="right"/>
    </xf>
    <xf numFmtId="178" fontId="0" fillId="0" borderId="40" xfId="101" applyNumberFormat="1" applyFont="1" applyFill="1" applyBorder="1" applyAlignment="1">
      <alignment horizontal="right"/>
    </xf>
    <xf numFmtId="178" fontId="0" fillId="11" borderId="39" xfId="101" applyNumberFormat="1" applyFont="1" applyFill="1" applyBorder="1" applyAlignment="1">
      <alignment horizontal="right"/>
    </xf>
    <xf numFmtId="178" fontId="0" fillId="11" borderId="56" xfId="101" applyNumberFormat="1" applyFont="1" applyFill="1" applyBorder="1" applyAlignment="1">
      <alignment horizontal="right"/>
    </xf>
    <xf numFmtId="178" fontId="0" fillId="11" borderId="39" xfId="101" applyNumberFormat="1" applyFont="1" applyFill="1" applyBorder="1" applyAlignment="1">
      <alignment horizontal="right"/>
    </xf>
    <xf numFmtId="178" fontId="0" fillId="15" borderId="39" xfId="101" applyNumberFormat="1" applyFont="1" applyFill="1" applyBorder="1" applyAlignment="1">
      <alignment horizontal="right"/>
    </xf>
    <xf numFmtId="0" fontId="0" fillId="0" borderId="57" xfId="0" applyFont="1" applyBorder="1" applyAlignment="1">
      <alignment/>
    </xf>
    <xf numFmtId="0" fontId="2" fillId="7" borderId="11" xfId="0" applyFont="1" applyFill="1" applyBorder="1" applyAlignment="1">
      <alignment/>
    </xf>
    <xf numFmtId="178" fontId="2" fillId="7" borderId="11" xfId="101" applyNumberFormat="1" applyFont="1" applyFill="1" applyBorder="1" applyAlignment="1">
      <alignment horizontal="right"/>
    </xf>
    <xf numFmtId="178" fontId="5" fillId="16" borderId="28" xfId="101" applyNumberFormat="1" applyFont="1" applyFill="1" applyBorder="1" applyAlignment="1" quotePrefix="1">
      <alignment horizontal="right" vertical="center" wrapText="1"/>
    </xf>
    <xf numFmtId="178" fontId="0" fillId="7" borderId="45" xfId="101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178" fontId="0" fillId="0" borderId="11" xfId="101" applyNumberFormat="1" applyFont="1" applyBorder="1" applyAlignment="1">
      <alignment horizontal="right" wrapText="1"/>
    </xf>
    <xf numFmtId="178" fontId="9" fillId="16" borderId="11" xfId="101" applyNumberFormat="1" applyFont="1" applyFill="1" applyBorder="1" applyAlignment="1" quotePrefix="1">
      <alignment horizontal="right" vertical="center" wrapText="1"/>
    </xf>
    <xf numFmtId="178" fontId="0" fillId="0" borderId="11" xfId="101" applyNumberFormat="1" applyFont="1" applyFill="1" applyBorder="1" applyAlignment="1">
      <alignment horizontal="right" wrapText="1"/>
    </xf>
    <xf numFmtId="0" fontId="0" fillId="7" borderId="42" xfId="0" applyFont="1" applyFill="1" applyBorder="1" applyAlignment="1">
      <alignment/>
    </xf>
    <xf numFmtId="178" fontId="0" fillId="7" borderId="29" xfId="101" applyNumberFormat="1" applyFont="1" applyFill="1" applyBorder="1" applyAlignment="1">
      <alignment horizontal="right"/>
    </xf>
    <xf numFmtId="178" fontId="0" fillId="0" borderId="42" xfId="101" applyNumberFormat="1" applyFont="1" applyFill="1" applyBorder="1" applyAlignment="1">
      <alignment horizontal="right" wrapText="1"/>
    </xf>
    <xf numFmtId="178" fontId="0" fillId="0" borderId="42" xfId="101" applyNumberFormat="1" applyFont="1" applyBorder="1" applyAlignment="1">
      <alignment horizontal="right" wrapText="1"/>
    </xf>
    <xf numFmtId="178" fontId="0" fillId="26" borderId="33" xfId="101" applyNumberFormat="1" applyFont="1" applyFill="1" applyBorder="1" applyAlignment="1">
      <alignment horizontal="right"/>
    </xf>
    <xf numFmtId="178" fontId="5" fillId="26" borderId="11" xfId="101" applyNumberFormat="1" applyFont="1" applyFill="1" applyBorder="1" applyAlignment="1" quotePrefix="1">
      <alignment horizontal="right" vertical="center" wrapText="1"/>
    </xf>
    <xf numFmtId="178" fontId="0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5" fillId="16" borderId="35" xfId="101" applyNumberFormat="1" applyFont="1" applyFill="1" applyBorder="1" applyAlignment="1" quotePrefix="1">
      <alignment horizontal="right" vertical="center" wrapText="1"/>
    </xf>
    <xf numFmtId="0" fontId="0" fillId="0" borderId="57" xfId="0" applyFont="1" applyBorder="1" applyAlignment="1">
      <alignment/>
    </xf>
    <xf numFmtId="178" fontId="5" fillId="16" borderId="39" xfId="101" applyNumberFormat="1" applyFont="1" applyFill="1" applyBorder="1" applyAlignment="1" quotePrefix="1">
      <alignment horizontal="right" vertical="center" wrapText="1"/>
    </xf>
    <xf numFmtId="0" fontId="3" fillId="0" borderId="37" xfId="0" applyFont="1" applyBorder="1" applyAlignment="1">
      <alignment/>
    </xf>
    <xf numFmtId="178" fontId="5" fillId="16" borderId="58" xfId="101" applyNumberFormat="1" applyFont="1" applyFill="1" applyBorder="1" applyAlignment="1" quotePrefix="1">
      <alignment horizontal="right" vertical="center" wrapText="1"/>
    </xf>
    <xf numFmtId="178" fontId="5" fillId="16" borderId="59" xfId="101" applyNumberFormat="1" applyFont="1" applyFill="1" applyBorder="1" applyAlignment="1" quotePrefix="1">
      <alignment horizontal="right" vertical="center" wrapText="1"/>
    </xf>
    <xf numFmtId="178" fontId="5" fillId="26" borderId="58" xfId="101" applyNumberFormat="1" applyFont="1" applyFill="1" applyBorder="1" applyAlignment="1" quotePrefix="1">
      <alignment horizontal="right" vertical="center" wrapText="1"/>
    </xf>
    <xf numFmtId="178" fontId="5" fillId="26" borderId="33" xfId="101" applyNumberFormat="1" applyFont="1" applyFill="1" applyBorder="1" applyAlignment="1" quotePrefix="1">
      <alignment horizontal="right" vertical="center" wrapText="1"/>
    </xf>
    <xf numFmtId="178" fontId="2" fillId="0" borderId="36" xfId="101" applyNumberFormat="1" applyFont="1" applyBorder="1" applyAlignment="1">
      <alignment horizontal="right"/>
    </xf>
    <xf numFmtId="178" fontId="5" fillId="16" borderId="19" xfId="101" applyNumberFormat="1" applyFont="1" applyFill="1" applyBorder="1" applyAlignment="1" quotePrefix="1">
      <alignment horizontal="right" vertical="center" wrapText="1"/>
    </xf>
    <xf numFmtId="178" fontId="5" fillId="16" borderId="60" xfId="101" applyNumberFormat="1" applyFont="1" applyFill="1" applyBorder="1" applyAlignment="1" quotePrefix="1">
      <alignment horizontal="right" vertical="center" wrapText="1"/>
    </xf>
    <xf numFmtId="178" fontId="5" fillId="16" borderId="34" xfId="101" applyNumberFormat="1" applyFont="1" applyFill="1" applyBorder="1" applyAlignment="1" quotePrefix="1">
      <alignment horizontal="right" vertical="center" wrapText="1"/>
    </xf>
    <xf numFmtId="178" fontId="5" fillId="16" borderId="40" xfId="101" applyNumberFormat="1" applyFont="1" applyFill="1" applyBorder="1" applyAlignment="1" quotePrefix="1">
      <alignment horizontal="right" vertical="center" wrapText="1"/>
    </xf>
    <xf numFmtId="178" fontId="5" fillId="16" borderId="60" xfId="101" applyNumberFormat="1" applyFont="1" applyFill="1" applyBorder="1" applyAlignment="1" quotePrefix="1">
      <alignment horizontal="right" vertical="center" wrapText="1"/>
    </xf>
    <xf numFmtId="178" fontId="0" fillId="7" borderId="56" xfId="101" applyNumberFormat="1" applyFont="1" applyFill="1" applyBorder="1" applyAlignment="1">
      <alignment horizontal="right"/>
    </xf>
    <xf numFmtId="178" fontId="0" fillId="7" borderId="61" xfId="101" applyNumberFormat="1" applyFont="1" applyFill="1" applyBorder="1" applyAlignment="1">
      <alignment horizontal="right"/>
    </xf>
    <xf numFmtId="178" fontId="2" fillId="7" borderId="32" xfId="101" applyNumberFormat="1" applyFont="1" applyFill="1" applyBorder="1" applyAlignment="1">
      <alignment horizontal="right"/>
    </xf>
    <xf numFmtId="178" fontId="5" fillId="26" borderId="34" xfId="101" applyNumberFormat="1" applyFont="1" applyFill="1" applyBorder="1" applyAlignment="1" quotePrefix="1">
      <alignment horizontal="right" vertical="center" wrapText="1"/>
    </xf>
    <xf numFmtId="178" fontId="5" fillId="16" borderId="34" xfId="101" applyNumberFormat="1" applyFont="1" applyFill="1" applyBorder="1" applyAlignment="1" quotePrefix="1">
      <alignment horizontal="right" vertical="center" wrapText="1"/>
    </xf>
    <xf numFmtId="178" fontId="5" fillId="16" borderId="40" xfId="101" applyNumberFormat="1" applyFont="1" applyFill="1" applyBorder="1" applyAlignment="1" quotePrefix="1">
      <alignment horizontal="right" vertical="center" wrapText="1"/>
    </xf>
    <xf numFmtId="178" fontId="2" fillId="0" borderId="62" xfId="101" applyNumberFormat="1" applyFont="1" applyBorder="1" applyAlignment="1">
      <alignment horizontal="right"/>
    </xf>
    <xf numFmtId="178" fontId="5" fillId="16" borderId="63" xfId="101" applyNumberFormat="1" applyFont="1" applyFill="1" applyBorder="1" applyAlignment="1" quotePrefix="1">
      <alignment horizontal="right" vertical="center" wrapText="1"/>
    </xf>
    <xf numFmtId="178" fontId="5" fillId="16" borderId="53" xfId="101" applyNumberFormat="1" applyFont="1" applyFill="1" applyBorder="1" applyAlignment="1" quotePrefix="1">
      <alignment horizontal="right" vertical="center" wrapText="1"/>
    </xf>
    <xf numFmtId="178" fontId="0" fillId="0" borderId="19" xfId="101" applyNumberFormat="1" applyFont="1" applyBorder="1" applyAlignment="1">
      <alignment horizontal="right"/>
    </xf>
    <xf numFmtId="178" fontId="0" fillId="0" borderId="35" xfId="101" applyNumberFormat="1" applyFont="1" applyBorder="1" applyAlignment="1">
      <alignment horizontal="right"/>
    </xf>
    <xf numFmtId="178" fontId="5" fillId="16" borderId="54" xfId="101" applyNumberFormat="1" applyFont="1" applyFill="1" applyBorder="1" applyAlignment="1" quotePrefix="1">
      <alignment horizontal="right" vertical="center" wrapText="1"/>
    </xf>
    <xf numFmtId="0" fontId="2" fillId="0" borderId="55" xfId="0" applyFont="1" applyBorder="1" applyAlignment="1">
      <alignment/>
    </xf>
    <xf numFmtId="178" fontId="2" fillId="0" borderId="30" xfId="101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2" fillId="7" borderId="55" xfId="0" applyFont="1" applyFill="1" applyBorder="1" applyAlignment="1">
      <alignment/>
    </xf>
    <xf numFmtId="0" fontId="1" fillId="0" borderId="18" xfId="0" applyFont="1" applyBorder="1" applyAlignment="1">
      <alignment horizontal="center" wrapText="1"/>
    </xf>
    <xf numFmtId="178" fontId="9" fillId="16" borderId="39" xfId="101" applyNumberFormat="1" applyFont="1" applyFill="1" applyBorder="1" applyAlignment="1" quotePrefix="1">
      <alignment horizontal="right" vertical="center" wrapText="1"/>
    </xf>
    <xf numFmtId="178" fontId="0" fillId="0" borderId="36" xfId="101" applyNumberFormat="1" applyFont="1" applyBorder="1" applyAlignment="1">
      <alignment horizontal="right"/>
    </xf>
    <xf numFmtId="178" fontId="5" fillId="16" borderId="39" xfId="101" applyNumberFormat="1" applyFont="1" applyFill="1" applyBorder="1" applyAlignment="1" quotePrefix="1">
      <alignment horizontal="right" vertical="center" wrapText="1"/>
    </xf>
    <xf numFmtId="178" fontId="5" fillId="16" borderId="33" xfId="101" applyNumberFormat="1" applyFont="1" applyFill="1" applyBorder="1" applyAlignment="1" quotePrefix="1">
      <alignment horizontal="right" vertical="center" wrapText="1"/>
    </xf>
    <xf numFmtId="178" fontId="5" fillId="16" borderId="39" xfId="101" applyNumberFormat="1" applyFont="1" applyFill="1" applyBorder="1" applyAlignment="1" quotePrefix="1">
      <alignment horizontal="right" vertical="center" wrapText="1"/>
    </xf>
    <xf numFmtId="178" fontId="5" fillId="16" borderId="33" xfId="101" applyNumberFormat="1" applyFont="1" applyFill="1" applyBorder="1" applyAlignment="1" quotePrefix="1">
      <alignment horizontal="right" vertical="center" wrapText="1"/>
    </xf>
    <xf numFmtId="178" fontId="0" fillId="26" borderId="36" xfId="101" applyNumberFormat="1" applyFont="1" applyFill="1" applyBorder="1" applyAlignment="1">
      <alignment horizontal="right"/>
    </xf>
    <xf numFmtId="178" fontId="0" fillId="26" borderId="33" xfId="101" applyNumberFormat="1" applyFont="1" applyFill="1" applyBorder="1" applyAlignment="1">
      <alignment horizontal="right"/>
    </xf>
    <xf numFmtId="178" fontId="2" fillId="26" borderId="33" xfId="101" applyNumberFormat="1" applyFont="1" applyFill="1" applyBorder="1" applyAlignment="1">
      <alignment horizontal="right"/>
    </xf>
    <xf numFmtId="178" fontId="2" fillId="26" borderId="35" xfId="101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0" fontId="2" fillId="7" borderId="4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2" fillId="0" borderId="31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/>
    </xf>
    <xf numFmtId="0" fontId="0" fillId="0" borderId="14" xfId="0" applyBorder="1" applyAlignment="1">
      <alignment/>
    </xf>
    <xf numFmtId="0" fontId="0" fillId="7" borderId="14" xfId="0" applyFill="1" applyBorder="1" applyAlignment="1">
      <alignment/>
    </xf>
    <xf numFmtId="0" fontId="0" fillId="0" borderId="64" xfId="0" applyBorder="1" applyAlignment="1">
      <alignment/>
    </xf>
    <xf numFmtId="0" fontId="1" fillId="0" borderId="35" xfId="0" applyFont="1" applyBorder="1" applyAlignment="1">
      <alignment horizontal="center" wrapText="1"/>
    </xf>
    <xf numFmtId="178" fontId="0" fillId="0" borderId="39" xfId="101" applyNumberFormat="1" applyFont="1" applyBorder="1" applyAlignment="1">
      <alignment horizontal="right" wrapText="1"/>
    </xf>
    <xf numFmtId="178" fontId="0" fillId="0" borderId="33" xfId="101" applyNumberFormat="1" applyFont="1" applyBorder="1" applyAlignment="1">
      <alignment horizontal="right" wrapText="1"/>
    </xf>
    <xf numFmtId="178" fontId="5" fillId="16" borderId="36" xfId="101" applyNumberFormat="1" applyFont="1" applyFill="1" applyBorder="1" applyAlignment="1" quotePrefix="1">
      <alignment horizontal="right" vertical="center" wrapText="1"/>
    </xf>
    <xf numFmtId="178" fontId="2" fillId="16" borderId="35" xfId="101" applyNumberFormat="1" applyFont="1" applyFill="1" applyBorder="1" applyAlignment="1">
      <alignment horizontal="right"/>
    </xf>
    <xf numFmtId="178" fontId="5" fillId="26" borderId="33" xfId="101" applyNumberFormat="1" applyFont="1" applyFill="1" applyBorder="1" applyAlignment="1" quotePrefix="1">
      <alignment horizontal="right" vertical="center" wrapText="1"/>
    </xf>
    <xf numFmtId="3" fontId="1" fillId="0" borderId="35" xfId="0" applyNumberFormat="1" applyFont="1" applyBorder="1" applyAlignment="1">
      <alignment horizontal="center" wrapText="1"/>
    </xf>
    <xf numFmtId="178" fontId="0" fillId="0" borderId="39" xfId="101" applyNumberFormat="1" applyFont="1" applyFill="1" applyBorder="1" applyAlignment="1">
      <alignment horizontal="right"/>
    </xf>
    <xf numFmtId="178" fontId="0" fillId="0" borderId="33" xfId="101" applyNumberFormat="1" applyFont="1" applyFill="1" applyBorder="1" applyAlignment="1">
      <alignment horizontal="right"/>
    </xf>
    <xf numFmtId="178" fontId="0" fillId="0" borderId="39" xfId="101" applyNumberFormat="1" applyFont="1" applyBorder="1" applyAlignment="1">
      <alignment horizontal="right"/>
    </xf>
    <xf numFmtId="178" fontId="5" fillId="16" borderId="36" xfId="101" applyNumberFormat="1" applyFont="1" applyFill="1" applyBorder="1" applyAlignment="1" quotePrefix="1">
      <alignment horizontal="right" vertical="center" wrapText="1"/>
    </xf>
    <xf numFmtId="178" fontId="9" fillId="0" borderId="39" xfId="101" applyNumberFormat="1" applyFont="1" applyFill="1" applyBorder="1" applyAlignment="1" quotePrefix="1">
      <alignment horizontal="right" vertical="center" wrapText="1"/>
    </xf>
    <xf numFmtId="178" fontId="9" fillId="0" borderId="33" xfId="101" applyNumberFormat="1" applyFont="1" applyFill="1" applyBorder="1" applyAlignment="1" quotePrefix="1">
      <alignment horizontal="right" vertical="center" wrapText="1"/>
    </xf>
    <xf numFmtId="178" fontId="5" fillId="16" borderId="64" xfId="101" applyNumberFormat="1" applyFont="1" applyFill="1" applyBorder="1" applyAlignment="1" quotePrefix="1">
      <alignment horizontal="right" vertical="center" wrapText="1"/>
    </xf>
    <xf numFmtId="178" fontId="5" fillId="16" borderId="14" xfId="101" applyNumberFormat="1" applyFont="1" applyFill="1" applyBorder="1" applyAlignment="1" quotePrefix="1">
      <alignment horizontal="right" vertical="center" wrapText="1"/>
    </xf>
    <xf numFmtId="178" fontId="9" fillId="16" borderId="14" xfId="101" applyNumberFormat="1" applyFont="1" applyFill="1" applyBorder="1" applyAlignment="1" quotePrefix="1">
      <alignment horizontal="right" vertical="center" wrapText="1"/>
    </xf>
    <xf numFmtId="178" fontId="0" fillId="0" borderId="64" xfId="101" applyNumberFormat="1" applyFont="1" applyBorder="1" applyAlignment="1">
      <alignment horizontal="right" wrapText="1"/>
    </xf>
    <xf numFmtId="178" fontId="0" fillId="0" borderId="14" xfId="101" applyNumberFormat="1" applyFont="1" applyBorder="1" applyAlignment="1">
      <alignment horizontal="right" wrapText="1"/>
    </xf>
    <xf numFmtId="178" fontId="0" fillId="0" borderId="17" xfId="101" applyNumberFormat="1" applyFont="1" applyBorder="1" applyAlignment="1">
      <alignment horizontal="right"/>
    </xf>
    <xf numFmtId="178" fontId="0" fillId="0" borderId="14" xfId="101" applyNumberFormat="1" applyFont="1" applyBorder="1" applyAlignment="1">
      <alignment horizontal="right"/>
    </xf>
    <xf numFmtId="178" fontId="2" fillId="0" borderId="14" xfId="101" applyNumberFormat="1" applyFont="1" applyBorder="1" applyAlignment="1">
      <alignment horizontal="right"/>
    </xf>
    <xf numFmtId="178" fontId="2" fillId="0" borderId="15" xfId="101" applyNumberFormat="1" applyFont="1" applyBorder="1" applyAlignment="1">
      <alignment horizontal="right"/>
    </xf>
    <xf numFmtId="178" fontId="0" fillId="7" borderId="64" xfId="101" applyNumberFormat="1" applyFont="1" applyFill="1" applyBorder="1" applyAlignment="1">
      <alignment horizontal="right"/>
    </xf>
    <xf numFmtId="178" fontId="0" fillId="7" borderId="14" xfId="101" applyNumberFormat="1" applyFont="1" applyFill="1" applyBorder="1" applyAlignment="1">
      <alignment horizontal="right"/>
    </xf>
    <xf numFmtId="178" fontId="2" fillId="7" borderId="55" xfId="101" applyNumberFormat="1" applyFont="1" applyFill="1" applyBorder="1" applyAlignment="1">
      <alignment horizontal="right"/>
    </xf>
    <xf numFmtId="178" fontId="5" fillId="16" borderId="17" xfId="101" applyNumberFormat="1" applyFont="1" applyFill="1" applyBorder="1" applyAlignment="1" quotePrefix="1">
      <alignment horizontal="right" vertical="center" wrapText="1"/>
    </xf>
    <xf numFmtId="178" fontId="5" fillId="26" borderId="14" xfId="101" applyNumberFormat="1" applyFont="1" applyFill="1" applyBorder="1" applyAlignment="1" quotePrefix="1">
      <alignment horizontal="right" vertical="center" wrapText="1"/>
    </xf>
    <xf numFmtId="178" fontId="0" fillId="0" borderId="17" xfId="101" applyNumberFormat="1" applyFont="1" applyBorder="1" applyAlignment="1">
      <alignment horizontal="right"/>
    </xf>
    <xf numFmtId="178" fontId="0" fillId="0" borderId="14" xfId="101" applyNumberFormat="1" applyFont="1" applyBorder="1" applyAlignment="1">
      <alignment horizontal="right"/>
    </xf>
    <xf numFmtId="178" fontId="0" fillId="0" borderId="64" xfId="101" applyNumberFormat="1" applyFont="1" applyFill="1" applyBorder="1" applyAlignment="1">
      <alignment horizontal="right" wrapText="1"/>
    </xf>
    <xf numFmtId="178" fontId="0" fillId="0" borderId="14" xfId="101" applyNumberFormat="1" applyFont="1" applyFill="1" applyBorder="1" applyAlignment="1">
      <alignment horizontal="right" wrapText="1"/>
    </xf>
    <xf numFmtId="178" fontId="0" fillId="0" borderId="64" xfId="101" applyNumberFormat="1" applyFont="1" applyBorder="1" applyAlignment="1">
      <alignment horizontal="right"/>
    </xf>
    <xf numFmtId="178" fontId="2" fillId="7" borderId="14" xfId="101" applyNumberFormat="1" applyFont="1" applyFill="1" applyBorder="1" applyAlignment="1">
      <alignment horizontal="right"/>
    </xf>
    <xf numFmtId="178" fontId="0" fillId="7" borderId="55" xfId="10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78" fontId="5" fillId="16" borderId="34" xfId="101" applyNumberFormat="1" applyFont="1" applyFill="1" applyBorder="1" applyAlignment="1" quotePrefix="1">
      <alignment horizontal="right" vertical="center" wrapText="1"/>
    </xf>
    <xf numFmtId="178" fontId="5" fillId="16" borderId="40" xfId="101" applyNumberFormat="1" applyFont="1" applyFill="1" applyBorder="1" applyAlignment="1" quotePrefix="1">
      <alignment horizontal="right" vertical="center" wrapText="1"/>
    </xf>
    <xf numFmtId="178" fontId="5" fillId="26" borderId="34" xfId="101" applyNumberFormat="1" applyFont="1" applyFill="1" applyBorder="1" applyAlignment="1" quotePrefix="1">
      <alignment horizontal="right" vertical="center" wrapText="1"/>
    </xf>
    <xf numFmtId="3" fontId="5" fillId="16" borderId="59" xfId="37" applyNumberFormat="1" applyBorder="1" applyAlignment="1" quotePrefix="1">
      <alignment horizontal="right" vertical="center" wrapText="1"/>
      <protection/>
    </xf>
    <xf numFmtId="3" fontId="0" fillId="16" borderId="39" xfId="0" applyNumberFormat="1" applyFont="1" applyFill="1" applyBorder="1" applyAlignment="1">
      <alignment/>
    </xf>
    <xf numFmtId="3" fontId="0" fillId="16" borderId="33" xfId="0" applyNumberFormat="1" applyFont="1" applyFill="1" applyBorder="1" applyAlignment="1">
      <alignment/>
    </xf>
    <xf numFmtId="3" fontId="0" fillId="16" borderId="36" xfId="0" applyNumberFormat="1" applyFont="1" applyFill="1" applyBorder="1" applyAlignment="1">
      <alignment/>
    </xf>
    <xf numFmtId="3" fontId="0" fillId="7" borderId="36" xfId="0" applyNumberFormat="1" applyFont="1" applyFill="1" applyBorder="1" applyAlignment="1">
      <alignment horizontal="right"/>
    </xf>
    <xf numFmtId="3" fontId="0" fillId="7" borderId="33" xfId="0" applyNumberFormat="1" applyFont="1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/>
    </xf>
    <xf numFmtId="3" fontId="5" fillId="16" borderId="60" xfId="37" applyNumberFormat="1" applyBorder="1" applyAlignment="1" quotePrefix="1">
      <alignment horizontal="right" vertical="center" wrapText="1"/>
      <protection/>
    </xf>
    <xf numFmtId="3" fontId="2" fillId="7" borderId="3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8" fontId="0" fillId="26" borderId="43" xfId="101" applyNumberFormat="1" applyFont="1" applyFill="1" applyBorder="1" applyAlignment="1">
      <alignment horizontal="right"/>
    </xf>
    <xf numFmtId="178" fontId="5" fillId="26" borderId="53" xfId="101" applyNumberFormat="1" applyFont="1" applyFill="1" applyBorder="1" applyAlignment="1" quotePrefix="1">
      <alignment horizontal="right" vertical="center" wrapText="1"/>
    </xf>
    <xf numFmtId="3" fontId="0" fillId="26" borderId="33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178" fontId="5" fillId="0" borderId="33" xfId="101" applyNumberFormat="1" applyFont="1" applyFill="1" applyBorder="1" applyAlignment="1" quotePrefix="1">
      <alignment horizontal="right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78" fontId="0" fillId="16" borderId="39" xfId="0" applyNumberFormat="1" applyFont="1" applyFill="1" applyBorder="1" applyAlignment="1">
      <alignment/>
    </xf>
    <xf numFmtId="178" fontId="0" fillId="16" borderId="33" xfId="0" applyNumberFormat="1" applyFont="1" applyFill="1" applyBorder="1" applyAlignment="1">
      <alignment/>
    </xf>
    <xf numFmtId="178" fontId="2" fillId="16" borderId="26" xfId="0" applyNumberFormat="1" applyFont="1" applyFill="1" applyBorder="1" applyAlignment="1">
      <alignment/>
    </xf>
    <xf numFmtId="178" fontId="0" fillId="16" borderId="36" xfId="0" applyNumberFormat="1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57" xfId="0" applyFont="1" applyFill="1" applyBorder="1" applyAlignment="1">
      <alignment/>
    </xf>
    <xf numFmtId="0" fontId="0" fillId="7" borderId="57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0" fillId="7" borderId="36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178" fontId="2" fillId="7" borderId="26" xfId="101" applyNumberFormat="1" applyFont="1" applyFill="1" applyBorder="1" applyAlignment="1">
      <alignment horizontal="right"/>
    </xf>
    <xf numFmtId="0" fontId="2" fillId="7" borderId="27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3" fontId="5" fillId="16" borderId="34" xfId="37" applyNumberFormat="1" applyBorder="1" applyAlignment="1" quotePrefix="1">
      <alignment horizontal="right" vertical="center" wrapText="1"/>
      <protection/>
    </xf>
    <xf numFmtId="3" fontId="2" fillId="0" borderId="30" xfId="0" applyNumberFormat="1" applyFont="1" applyBorder="1" applyAlignment="1">
      <alignment horizontal="right"/>
    </xf>
    <xf numFmtId="3" fontId="2" fillId="16" borderId="3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3" fontId="2" fillId="7" borderId="39" xfId="0" applyNumberFormat="1" applyFont="1" applyFill="1" applyBorder="1" applyAlignment="1">
      <alignment horizontal="right"/>
    </xf>
    <xf numFmtId="3" fontId="0" fillId="7" borderId="39" xfId="0" applyNumberFormat="1" applyFont="1" applyFill="1" applyBorder="1" applyAlignment="1">
      <alignment horizontal="right"/>
    </xf>
    <xf numFmtId="3" fontId="2" fillId="7" borderId="26" xfId="0" applyNumberFormat="1" applyFont="1" applyFill="1" applyBorder="1" applyAlignment="1">
      <alignment horizontal="right"/>
    </xf>
    <xf numFmtId="0" fontId="0" fillId="7" borderId="28" xfId="0" applyFont="1" applyFill="1" applyBorder="1" applyAlignment="1">
      <alignment/>
    </xf>
    <xf numFmtId="178" fontId="0" fillId="7" borderId="36" xfId="101" applyNumberFormat="1" applyFont="1" applyFill="1" applyBorder="1" applyAlignment="1">
      <alignment horizontal="right"/>
    </xf>
    <xf numFmtId="178" fontId="2" fillId="7" borderId="19" xfId="101" applyNumberFormat="1" applyFont="1" applyFill="1" applyBorder="1" applyAlignment="1">
      <alignment horizontal="right"/>
    </xf>
    <xf numFmtId="178" fontId="0" fillId="7" borderId="39" xfId="101" applyNumberFormat="1" applyFont="1" applyFill="1" applyBorder="1" applyAlignment="1">
      <alignment horizontal="right"/>
    </xf>
    <xf numFmtId="178" fontId="2" fillId="7" borderId="36" xfId="101" applyNumberFormat="1" applyFont="1" applyFill="1" applyBorder="1" applyAlignment="1">
      <alignment horizontal="right"/>
    </xf>
    <xf numFmtId="178" fontId="0" fillId="7" borderId="30" xfId="101" applyNumberFormat="1" applyFont="1" applyFill="1" applyBorder="1" applyAlignment="1">
      <alignment horizontal="right"/>
    </xf>
    <xf numFmtId="0" fontId="2" fillId="0" borderId="65" xfId="0" applyFont="1" applyBorder="1" applyAlignment="1">
      <alignment horizontal="center" wrapText="1"/>
    </xf>
    <xf numFmtId="0" fontId="0" fillId="7" borderId="17" xfId="0" applyFill="1" applyBorder="1" applyAlignment="1">
      <alignment/>
    </xf>
    <xf numFmtId="178" fontId="0" fillId="0" borderId="36" xfId="101" applyNumberFormat="1" applyFont="1" applyBorder="1" applyAlignment="1">
      <alignment horizontal="right"/>
    </xf>
    <xf numFmtId="0" fontId="0" fillId="7" borderId="27" xfId="0" applyFont="1" applyFill="1" applyBorder="1" applyAlignment="1">
      <alignment/>
    </xf>
    <xf numFmtId="0" fontId="0" fillId="7" borderId="36" xfId="0" applyFont="1" applyFill="1" applyBorder="1" applyAlignment="1">
      <alignment/>
    </xf>
    <xf numFmtId="0" fontId="2" fillId="26" borderId="18" xfId="0" applyFont="1" applyFill="1" applyBorder="1" applyAlignment="1">
      <alignment vertical="center" textRotation="90" wrapText="1"/>
    </xf>
    <xf numFmtId="0" fontId="2" fillId="26" borderId="19" xfId="0" applyFont="1" applyFill="1" applyBorder="1" applyAlignment="1">
      <alignment vertical="center" textRotation="90" wrapText="1"/>
    </xf>
    <xf numFmtId="178" fontId="9" fillId="0" borderId="36" xfId="101" applyNumberFormat="1" applyFont="1" applyFill="1" applyBorder="1" applyAlignment="1" quotePrefix="1">
      <alignment horizontal="right" vertical="center" wrapText="1"/>
    </xf>
    <xf numFmtId="178" fontId="5" fillId="0" borderId="36" xfId="101" applyNumberFormat="1" applyFont="1" applyFill="1" applyBorder="1" applyAlignment="1" quotePrefix="1">
      <alignment horizontal="right" vertical="center" wrapText="1"/>
    </xf>
    <xf numFmtId="178" fontId="2" fillId="0" borderId="33" xfId="101" applyNumberFormat="1" applyFont="1" applyFill="1" applyBorder="1" applyAlignment="1">
      <alignment horizontal="right"/>
    </xf>
    <xf numFmtId="178" fontId="2" fillId="16" borderId="36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 textRotation="90" wrapText="1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7" borderId="20" xfId="0" applyFont="1" applyFill="1" applyBorder="1" applyAlignment="1">
      <alignment horizontal="right"/>
    </xf>
    <xf numFmtId="0" fontId="0" fillId="7" borderId="11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 textRotation="90" wrapText="1"/>
    </xf>
    <xf numFmtId="0" fontId="2" fillId="26" borderId="12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26" borderId="39" xfId="0" applyFont="1" applyFill="1" applyBorder="1" applyAlignment="1">
      <alignment horizontal="center" vertical="center" textRotation="90" wrapText="1"/>
    </xf>
    <xf numFmtId="0" fontId="2" fillId="26" borderId="33" xfId="0" applyFont="1" applyFill="1" applyBorder="1" applyAlignment="1">
      <alignment horizontal="center" vertical="center" textRotation="90" wrapText="1"/>
    </xf>
    <xf numFmtId="0" fontId="2" fillId="26" borderId="30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26" borderId="17" xfId="0" applyFont="1" applyFill="1" applyBorder="1" applyAlignment="1">
      <alignment horizontal="center" vertical="center" textRotation="90" wrapText="1"/>
    </xf>
    <xf numFmtId="0" fontId="2" fillId="26" borderId="14" xfId="0" applyFont="1" applyFill="1" applyBorder="1" applyAlignment="1">
      <alignment horizontal="center" vertical="center" textRotation="90" wrapText="1"/>
    </xf>
    <xf numFmtId="0" fontId="2" fillId="26" borderId="15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right"/>
    </xf>
    <xf numFmtId="0" fontId="0" fillId="0" borderId="22" xfId="0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right"/>
    </xf>
    <xf numFmtId="0" fontId="2" fillId="26" borderId="28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2" fillId="26" borderId="35" xfId="0" applyFont="1" applyFill="1" applyBorder="1" applyAlignment="1">
      <alignment horizontal="center" vertical="center" textRotation="90" wrapText="1"/>
    </xf>
    <xf numFmtId="0" fontId="2" fillId="26" borderId="39" xfId="0" applyFont="1" applyFill="1" applyBorder="1" applyAlignment="1">
      <alignment horizontal="center" vertical="center" textRotation="90"/>
    </xf>
    <xf numFmtId="0" fontId="2" fillId="26" borderId="33" xfId="0" applyFont="1" applyFill="1" applyBorder="1" applyAlignment="1">
      <alignment horizontal="center" vertical="center" textRotation="90"/>
    </xf>
    <xf numFmtId="0" fontId="2" fillId="26" borderId="30" xfId="0" applyFont="1" applyFill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2" fillId="0" borderId="57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26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26" borderId="19" xfId="0" applyFont="1" applyFill="1" applyBorder="1" applyAlignment="1">
      <alignment horizontal="center" vertical="center" textRotation="90" wrapText="1"/>
    </xf>
    <xf numFmtId="0" fontId="2" fillId="26" borderId="18" xfId="0" applyFont="1" applyFill="1" applyBorder="1" applyAlignment="1">
      <alignment horizontal="center" vertical="center" textRotation="90" wrapText="1"/>
    </xf>
    <xf numFmtId="0" fontId="2" fillId="26" borderId="26" xfId="0" applyFont="1" applyFill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 textRotation="90"/>
    </xf>
    <xf numFmtId="0" fontId="2" fillId="26" borderId="26" xfId="0" applyFont="1" applyFill="1" applyBorder="1" applyAlignment="1">
      <alignment horizontal="center" vertical="center" textRotation="90"/>
    </xf>
    <xf numFmtId="0" fontId="2" fillId="26" borderId="18" xfId="0" applyFont="1" applyFill="1" applyBorder="1" applyAlignment="1">
      <alignment horizontal="center" vertical="center" textRotation="90"/>
    </xf>
    <xf numFmtId="0" fontId="2" fillId="26" borderId="23" xfId="0" applyFont="1" applyFill="1" applyBorder="1" applyAlignment="1">
      <alignment horizontal="center" vertical="center" textRotation="90" wrapText="1"/>
    </xf>
    <xf numFmtId="0" fontId="2" fillId="26" borderId="24" xfId="0" applyFont="1" applyFill="1" applyBorder="1" applyAlignment="1">
      <alignment horizontal="center" vertical="center" textRotation="90" wrapText="1"/>
    </xf>
    <xf numFmtId="0" fontId="2" fillId="26" borderId="27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0" fillId="0" borderId="6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2" fillId="26" borderId="36" xfId="0" applyFont="1" applyFill="1" applyBorder="1" applyAlignment="1">
      <alignment horizontal="center" vertical="center" textRotation="90" wrapText="1"/>
    </xf>
    <xf numFmtId="0" fontId="2" fillId="7" borderId="36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0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textRotation="90" wrapText="1"/>
    </xf>
    <xf numFmtId="0" fontId="0" fillId="7" borderId="28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right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textRotation="90" wrapText="1"/>
    </xf>
    <xf numFmtId="0" fontId="2" fillId="26" borderId="19" xfId="0" applyFont="1" applyFill="1" applyBorder="1" applyAlignment="1">
      <alignment horizontal="center" vertical="center" textRotation="90" wrapText="1"/>
    </xf>
    <xf numFmtId="0" fontId="2" fillId="26" borderId="26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26" borderId="70" xfId="0" applyFont="1" applyFill="1" applyBorder="1" applyAlignment="1">
      <alignment horizontal="center" vertical="center" textRotation="90" wrapText="1"/>
    </xf>
    <xf numFmtId="0" fontId="10" fillId="26" borderId="18" xfId="71" applyFont="1" applyFill="1" applyBorder="1" applyAlignment="1" quotePrefix="1">
      <alignment horizontal="center" vertical="center" textRotation="90" wrapText="1"/>
      <protection/>
    </xf>
    <xf numFmtId="0" fontId="2" fillId="26" borderId="19" xfId="0" applyFont="1" applyFill="1" applyBorder="1" applyAlignment="1">
      <alignment wrapText="1"/>
    </xf>
    <xf numFmtId="0" fontId="2" fillId="26" borderId="2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2" fillId="26" borderId="75" xfId="0" applyFont="1" applyFill="1" applyBorder="1" applyAlignment="1">
      <alignment horizontal="center" vertical="center" textRotation="90" wrapText="1"/>
    </xf>
    <xf numFmtId="0" fontId="2" fillId="26" borderId="65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0" fillId="7" borderId="24" xfId="0" applyFont="1" applyFill="1" applyBorder="1" applyAlignment="1">
      <alignment horizontal="center" vertical="center"/>
    </xf>
    <xf numFmtId="0" fontId="0" fillId="7" borderId="7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77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26" borderId="78" xfId="0" applyFont="1" applyFill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0" fillId="7" borderId="23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right"/>
    </xf>
    <xf numFmtId="0" fontId="2" fillId="26" borderId="50" xfId="0" applyFont="1" applyFill="1" applyBorder="1" applyAlignment="1">
      <alignment horizontal="center" vertical="center" textRotation="90" wrapText="1"/>
    </xf>
    <xf numFmtId="0" fontId="2" fillId="26" borderId="80" xfId="0" applyFont="1" applyFill="1" applyBorder="1" applyAlignment="1">
      <alignment horizontal="center" vertical="center" textRotation="90" wrapText="1"/>
    </xf>
    <xf numFmtId="0" fontId="2" fillId="26" borderId="46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2" fillId="26" borderId="39" xfId="0" applyFont="1" applyFill="1" applyBorder="1" applyAlignment="1">
      <alignment horizontal="center" vertical="center" textRotation="90" wrapText="1"/>
    </xf>
    <xf numFmtId="0" fontId="2" fillId="26" borderId="33" xfId="0" applyFont="1" applyFill="1" applyBorder="1" applyAlignment="1">
      <alignment horizontal="center" vertical="center" textRotation="90" wrapText="1"/>
    </xf>
    <xf numFmtId="0" fontId="2" fillId="26" borderId="69" xfId="0" applyFont="1" applyFill="1" applyBorder="1" applyAlignment="1">
      <alignment horizontal="center" vertical="center" textRotation="90" wrapText="1"/>
    </xf>
    <xf numFmtId="0" fontId="2" fillId="26" borderId="76" xfId="0" applyFont="1" applyFill="1" applyBorder="1" applyAlignment="1">
      <alignment horizontal="center" vertical="center" textRotation="90" wrapText="1"/>
    </xf>
    <xf numFmtId="0" fontId="2" fillId="26" borderId="77" xfId="0" applyFont="1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26" borderId="71" xfId="0" applyFont="1" applyFill="1" applyBorder="1" applyAlignment="1">
      <alignment horizontal="center" vertical="center" textRotation="90" wrapText="1"/>
    </xf>
    <xf numFmtId="0" fontId="2" fillId="26" borderId="66" xfId="0" applyFont="1" applyFill="1" applyBorder="1" applyAlignment="1">
      <alignment horizontal="center" vertical="center" textRotation="90" wrapText="1"/>
    </xf>
    <xf numFmtId="0" fontId="2" fillId="26" borderId="72" xfId="0" applyFont="1" applyFill="1" applyBorder="1" applyAlignment="1">
      <alignment horizontal="center" vertical="center" textRotation="90" wrapText="1"/>
    </xf>
    <xf numFmtId="0" fontId="2" fillId="26" borderId="67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textRotation="90" wrapText="1"/>
    </xf>
    <xf numFmtId="0" fontId="2" fillId="26" borderId="21" xfId="0" applyFont="1" applyFill="1" applyBorder="1" applyAlignment="1">
      <alignment horizontal="center" vertical="center" textRotation="90" wrapText="1"/>
    </xf>
    <xf numFmtId="0" fontId="2" fillId="26" borderId="22" xfId="0" applyFont="1" applyFill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/>
    </xf>
    <xf numFmtId="178" fontId="5" fillId="16" borderId="61" xfId="101" applyNumberFormat="1" applyFont="1" applyFill="1" applyBorder="1" applyAlignment="1" quotePrefix="1">
      <alignment horizontal="right" vertical="center" wrapText="1"/>
    </xf>
    <xf numFmtId="3" fontId="0" fillId="0" borderId="7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3" fontId="2" fillId="0" borderId="69" xfId="0" applyNumberFormat="1" applyFont="1" applyBorder="1" applyAlignment="1">
      <alignment horizontal="right"/>
    </xf>
    <xf numFmtId="3" fontId="0" fillId="7" borderId="82" xfId="0" applyNumberFormat="1" applyFont="1" applyFill="1" applyBorder="1" applyAlignment="1">
      <alignment horizontal="right"/>
    </xf>
    <xf numFmtId="3" fontId="0" fillId="7" borderId="61" xfId="0" applyNumberFormat="1" applyFont="1" applyFill="1" applyBorder="1" applyAlignment="1">
      <alignment horizontal="right"/>
    </xf>
    <xf numFmtId="3" fontId="2" fillId="7" borderId="77" xfId="0" applyNumberFormat="1" applyFont="1" applyFill="1" applyBorder="1" applyAlignment="1">
      <alignment horizontal="right"/>
    </xf>
    <xf numFmtId="3" fontId="5" fillId="16" borderId="39" xfId="37" applyNumberFormat="1" applyBorder="1" applyAlignment="1" quotePrefix="1">
      <alignment horizontal="right" vertical="center" wrapText="1"/>
      <protection/>
    </xf>
    <xf numFmtId="3" fontId="5" fillId="16" borderId="33" xfId="37" applyNumberFormat="1" applyBorder="1" applyAlignment="1" quotePrefix="1">
      <alignment horizontal="right" vertical="center" wrapText="1"/>
      <protection/>
    </xf>
    <xf numFmtId="3" fontId="5" fillId="16" borderId="36" xfId="37" applyNumberFormat="1" applyBorder="1" applyAlignment="1" quotePrefix="1">
      <alignment horizontal="right" vertical="center" wrapText="1"/>
      <protection/>
    </xf>
    <xf numFmtId="3" fontId="9" fillId="16" borderId="36" xfId="73" applyNumberFormat="1" applyFont="1" applyBorder="1" applyAlignment="1" quotePrefix="1">
      <alignment horizontal="right" vertical="center" wrapText="1"/>
      <protection/>
    </xf>
    <xf numFmtId="3" fontId="9" fillId="16" borderId="33" xfId="73" applyNumberFormat="1" applyFont="1" applyBorder="1" applyAlignment="1" quotePrefix="1">
      <alignment horizontal="right" vertical="center" wrapText="1"/>
      <protection/>
    </xf>
    <xf numFmtId="3" fontId="2" fillId="0" borderId="31" xfId="0" applyNumberFormat="1" applyFont="1" applyBorder="1" applyAlignment="1">
      <alignment horizontal="right"/>
    </xf>
    <xf numFmtId="3" fontId="5" fillId="16" borderId="40" xfId="37" applyNumberFormat="1" applyBorder="1" applyAlignment="1" quotePrefix="1">
      <alignment horizontal="right" vertical="center" wrapText="1"/>
      <protection/>
    </xf>
    <xf numFmtId="3" fontId="9" fillId="16" borderId="40" xfId="73" applyNumberFormat="1" applyFont="1" applyBorder="1" applyAlignment="1" quotePrefix="1">
      <alignment horizontal="right" vertical="center" wrapText="1"/>
      <protection/>
    </xf>
    <xf numFmtId="3" fontId="9" fillId="16" borderId="34" xfId="73" applyNumberFormat="1" applyFont="1" applyBorder="1" applyAlignment="1" quotePrefix="1">
      <alignment horizontal="right" vertical="center" wrapText="1"/>
      <protection/>
    </xf>
    <xf numFmtId="3" fontId="5" fillId="16" borderId="56" xfId="37" applyNumberFormat="1" applyBorder="1" applyAlignment="1" quotePrefix="1">
      <alignment horizontal="right" vertical="center" wrapText="1"/>
      <protection/>
    </xf>
    <xf numFmtId="3" fontId="0" fillId="7" borderId="56" xfId="0" applyNumberFormat="1" applyFont="1" applyFill="1" applyBorder="1" applyAlignment="1">
      <alignment horizontal="right"/>
    </xf>
    <xf numFmtId="3" fontId="0" fillId="7" borderId="40" xfId="0" applyNumberFormat="1" applyFont="1" applyFill="1" applyBorder="1" applyAlignment="1">
      <alignment horizontal="right"/>
    </xf>
    <xf numFmtId="3" fontId="0" fillId="7" borderId="34" xfId="0" applyNumberFormat="1" applyFont="1" applyFill="1" applyBorder="1" applyAlignment="1">
      <alignment horizontal="right"/>
    </xf>
    <xf numFmtId="3" fontId="2" fillId="7" borderId="31" xfId="0" applyNumberFormat="1" applyFont="1" applyFill="1" applyBorder="1" applyAlignment="1">
      <alignment horizontal="right"/>
    </xf>
    <xf numFmtId="3" fontId="2" fillId="7" borderId="37" xfId="0" applyNumberFormat="1" applyFont="1" applyFill="1" applyBorder="1" applyAlignment="1">
      <alignment horizontal="right"/>
    </xf>
    <xf numFmtId="3" fontId="5" fillId="26" borderId="33" xfId="37" applyNumberFormat="1" applyFill="1" applyBorder="1" applyAlignment="1" quotePrefix="1">
      <alignment horizontal="right" vertical="center" wrapText="1"/>
      <protection/>
    </xf>
    <xf numFmtId="3" fontId="5" fillId="26" borderId="34" xfId="37" applyNumberFormat="1" applyFill="1" applyBorder="1" applyAlignment="1" quotePrefix="1">
      <alignment horizontal="right" vertical="center" wrapText="1"/>
      <protection/>
    </xf>
    <xf numFmtId="3" fontId="2" fillId="0" borderId="32" xfId="0" applyNumberFormat="1" applyFont="1" applyBorder="1" applyAlignment="1">
      <alignment horizontal="right"/>
    </xf>
    <xf numFmtId="3" fontId="2" fillId="7" borderId="32" xfId="0" applyNumberFormat="1" applyFont="1" applyFill="1" applyBorder="1" applyAlignment="1">
      <alignment horizontal="right"/>
    </xf>
    <xf numFmtId="3" fontId="0" fillId="7" borderId="83" xfId="0" applyNumberFormat="1" applyFont="1" applyFill="1" applyBorder="1" applyAlignment="1">
      <alignment horizontal="right"/>
    </xf>
    <xf numFmtId="3" fontId="5" fillId="16" borderId="33" xfId="101" applyNumberFormat="1" applyFont="1" applyFill="1" applyBorder="1" applyAlignment="1" quotePrefix="1">
      <alignment horizontal="right" vertical="center" wrapText="1"/>
    </xf>
    <xf numFmtId="3" fontId="2" fillId="0" borderId="26" xfId="0" applyNumberFormat="1" applyFont="1" applyBorder="1" applyAlignment="1">
      <alignment horizontal="right"/>
    </xf>
    <xf numFmtId="3" fontId="2" fillId="16" borderId="33" xfId="0" applyNumberFormat="1" applyFont="1" applyFill="1" applyBorder="1" applyAlignment="1">
      <alignment/>
    </xf>
    <xf numFmtId="3" fontId="2" fillId="16" borderId="35" xfId="0" applyNumberFormat="1" applyFont="1" applyFill="1" applyBorder="1" applyAlignment="1">
      <alignment/>
    </xf>
    <xf numFmtId="3" fontId="0" fillId="16" borderId="35" xfId="0" applyNumberFormat="1" applyFont="1" applyFill="1" applyBorder="1" applyAlignment="1">
      <alignment/>
    </xf>
    <xf numFmtId="0" fontId="0" fillId="7" borderId="21" xfId="0" applyFont="1" applyFill="1" applyBorder="1" applyAlignment="1">
      <alignment/>
    </xf>
    <xf numFmtId="3" fontId="5" fillId="16" borderId="82" xfId="37" applyNumberFormat="1" applyBorder="1" applyAlignment="1" quotePrefix="1">
      <alignment horizontal="right" vertical="center" wrapText="1"/>
      <protection/>
    </xf>
    <xf numFmtId="3" fontId="5" fillId="16" borderId="61" xfId="37" applyNumberFormat="1" applyBorder="1" applyAlignment="1" quotePrefix="1">
      <alignment horizontal="right" vertical="center" wrapText="1"/>
      <protection/>
    </xf>
    <xf numFmtId="3" fontId="5" fillId="16" borderId="83" xfId="37" applyNumberFormat="1" applyBorder="1" applyAlignment="1" quotePrefix="1">
      <alignment horizontal="right" vertical="center" wrapText="1"/>
      <protection/>
    </xf>
    <xf numFmtId="3" fontId="9" fillId="16" borderId="83" xfId="73" applyNumberFormat="1" applyFont="1" applyBorder="1" applyAlignment="1" quotePrefix="1">
      <alignment horizontal="right" vertical="center" wrapText="1"/>
      <protection/>
    </xf>
    <xf numFmtId="3" fontId="9" fillId="16" borderId="61" xfId="73" applyNumberFormat="1" applyFont="1" applyBorder="1" applyAlignment="1" quotePrefix="1">
      <alignment horizontal="right" vertical="center" wrapText="1"/>
      <protection/>
    </xf>
    <xf numFmtId="3" fontId="5" fillId="16" borderId="52" xfId="37" applyNumberFormat="1" applyBorder="1" applyAlignment="1" quotePrefix="1">
      <alignment horizontal="right" vertical="center" wrapText="1"/>
      <protection/>
    </xf>
    <xf numFmtId="3" fontId="5" fillId="16" borderId="53" xfId="37" applyNumberFormat="1" applyBorder="1" applyAlignment="1" quotePrefix="1">
      <alignment horizontal="right" vertical="center" wrapText="1"/>
      <protection/>
    </xf>
    <xf numFmtId="3" fontId="5" fillId="16" borderId="41" xfId="37" applyNumberFormat="1" applyBorder="1" applyAlignment="1" quotePrefix="1">
      <alignment horizontal="right" vertical="center" wrapText="1"/>
      <protection/>
    </xf>
    <xf numFmtId="0" fontId="2" fillId="7" borderId="24" xfId="0" applyFont="1" applyFill="1" applyBorder="1" applyAlignment="1">
      <alignment/>
    </xf>
    <xf numFmtId="178" fontId="5" fillId="16" borderId="12" xfId="101" applyNumberFormat="1" applyFont="1" applyFill="1" applyBorder="1" applyAlignment="1" quotePrefix="1">
      <alignment horizontal="right" vertical="center" wrapText="1"/>
    </xf>
    <xf numFmtId="178" fontId="5" fillId="16" borderId="35" xfId="101" applyNumberFormat="1" applyFont="1" applyFill="1" applyBorder="1" applyAlignment="1" quotePrefix="1">
      <alignment vertical="center" wrapText="1"/>
    </xf>
    <xf numFmtId="178" fontId="5" fillId="16" borderId="33" xfId="101" applyNumberFormat="1" applyFont="1" applyFill="1" applyBorder="1" applyAlignment="1" quotePrefix="1">
      <alignment vertical="center" wrapText="1"/>
    </xf>
    <xf numFmtId="178" fontId="0" fillId="7" borderId="40" xfId="101" applyNumberFormat="1" applyFont="1" applyFill="1" applyBorder="1" applyAlignment="1">
      <alignment horizontal="right"/>
    </xf>
    <xf numFmtId="178" fontId="0" fillId="7" borderId="34" xfId="101" applyNumberFormat="1" applyFont="1" applyFill="1" applyBorder="1" applyAlignment="1">
      <alignment horizontal="right"/>
    </xf>
    <xf numFmtId="178" fontId="2" fillId="7" borderId="37" xfId="101" applyNumberFormat="1" applyFont="1" applyFill="1" applyBorder="1" applyAlignment="1">
      <alignment horizontal="right"/>
    </xf>
    <xf numFmtId="178" fontId="2" fillId="7" borderId="0" xfId="101" applyNumberFormat="1" applyFont="1" applyFill="1" applyBorder="1" applyAlignment="1">
      <alignment horizontal="right"/>
    </xf>
    <xf numFmtId="178" fontId="5" fillId="16" borderId="18" xfId="101" applyNumberFormat="1" applyFont="1" applyFill="1" applyBorder="1" applyAlignment="1" quotePrefix="1">
      <alignment horizontal="right" vertical="center" wrapText="1"/>
    </xf>
    <xf numFmtId="178" fontId="5" fillId="16" borderId="52" xfId="101" applyNumberFormat="1" applyFont="1" applyFill="1" applyBorder="1" applyAlignment="1" quotePrefix="1">
      <alignment horizontal="right" vertical="center" wrapText="1"/>
    </xf>
    <xf numFmtId="178" fontId="5" fillId="16" borderId="53" xfId="101" applyNumberFormat="1" applyFont="1" applyFill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wrapText="1"/>
    </xf>
    <xf numFmtId="178" fontId="5" fillId="16" borderId="20" xfId="101" applyNumberFormat="1" applyFont="1" applyFill="1" applyBorder="1" applyAlignment="1" quotePrefix="1">
      <alignment horizontal="right" vertical="center" wrapText="1"/>
    </xf>
    <xf numFmtId="178" fontId="5" fillId="16" borderId="21" xfId="101" applyNumberFormat="1" applyFont="1" applyFill="1" applyBorder="1" applyAlignment="1" quotePrefix="1">
      <alignment horizontal="right" vertical="center" wrapText="1"/>
    </xf>
    <xf numFmtId="178" fontId="5" fillId="16" borderId="21" xfId="101" applyNumberFormat="1" applyFont="1" applyFill="1" applyBorder="1" applyAlignment="1" quotePrefix="1">
      <alignment horizontal="right" vertical="center" wrapText="1"/>
    </xf>
    <xf numFmtId="178" fontId="2" fillId="0" borderId="22" xfId="101" applyNumberFormat="1" applyFont="1" applyBorder="1" applyAlignment="1">
      <alignment horizontal="right"/>
    </xf>
    <xf numFmtId="178" fontId="9" fillId="16" borderId="57" xfId="101" applyNumberFormat="1" applyFont="1" applyFill="1" applyBorder="1" applyAlignment="1" quotePrefix="1">
      <alignment horizontal="right" vertical="center" wrapText="1"/>
    </xf>
    <xf numFmtId="178" fontId="9" fillId="16" borderId="21" xfId="101" applyNumberFormat="1" applyFont="1" applyFill="1" applyBorder="1" applyAlignment="1" quotePrefix="1">
      <alignment horizontal="right" vertical="center" wrapText="1"/>
    </xf>
    <xf numFmtId="178" fontId="2" fillId="0" borderId="25" xfId="101" applyNumberFormat="1" applyFont="1" applyBorder="1" applyAlignment="1">
      <alignment horizontal="right"/>
    </xf>
    <xf numFmtId="178" fontId="5" fillId="16" borderId="57" xfId="101" applyNumberFormat="1" applyFont="1" applyFill="1" applyBorder="1" applyAlignment="1" quotePrefix="1">
      <alignment horizontal="right" vertical="center" wrapText="1"/>
    </xf>
    <xf numFmtId="178" fontId="0" fillId="0" borderId="20" xfId="101" applyNumberFormat="1" applyFont="1" applyBorder="1" applyAlignment="1">
      <alignment horizontal="right"/>
    </xf>
    <xf numFmtId="178" fontId="0" fillId="0" borderId="21" xfId="101" applyNumberFormat="1" applyFont="1" applyBorder="1" applyAlignment="1">
      <alignment horizontal="right"/>
    </xf>
    <xf numFmtId="178" fontId="9" fillId="0" borderId="20" xfId="101" applyNumberFormat="1" applyFont="1" applyFill="1" applyBorder="1" applyAlignment="1" quotePrefix="1">
      <alignment horizontal="right" vertical="center" wrapText="1"/>
    </xf>
    <xf numFmtId="178" fontId="9" fillId="0" borderId="21" xfId="101" applyNumberFormat="1" applyFont="1" applyFill="1" applyBorder="1" applyAlignment="1" quotePrefix="1">
      <alignment horizontal="right" vertical="center" wrapText="1"/>
    </xf>
    <xf numFmtId="178" fontId="2" fillId="0" borderId="22" xfId="101" applyNumberFormat="1" applyFont="1" applyFill="1" applyBorder="1" applyAlignment="1">
      <alignment horizontal="right"/>
    </xf>
    <xf numFmtId="178" fontId="0" fillId="7" borderId="20" xfId="101" applyNumberFormat="1" applyFont="1" applyFill="1" applyBorder="1" applyAlignment="1">
      <alignment horizontal="right"/>
    </xf>
    <xf numFmtId="178" fontId="0" fillId="7" borderId="21" xfId="101" applyNumberFormat="1" applyFont="1" applyFill="1" applyBorder="1" applyAlignment="1">
      <alignment horizontal="right"/>
    </xf>
    <xf numFmtId="178" fontId="2" fillId="7" borderId="21" xfId="101" applyNumberFormat="1" applyFont="1" applyFill="1" applyBorder="1" applyAlignment="1">
      <alignment horizontal="right"/>
    </xf>
    <xf numFmtId="178" fontId="5" fillId="26" borderId="21" xfId="101" applyNumberFormat="1" applyFont="1" applyFill="1" applyBorder="1" applyAlignment="1" quotePrefix="1">
      <alignment horizontal="right" vertical="center" wrapText="1"/>
    </xf>
    <xf numFmtId="178" fontId="0" fillId="0" borderId="20" xfId="101" applyNumberFormat="1" applyFont="1" applyFill="1" applyBorder="1" applyAlignment="1">
      <alignment horizontal="right"/>
    </xf>
    <xf numFmtId="178" fontId="0" fillId="0" borderId="21" xfId="101" applyNumberFormat="1" applyFont="1" applyFill="1" applyBorder="1" applyAlignment="1">
      <alignment horizontal="right"/>
    </xf>
    <xf numFmtId="178" fontId="9" fillId="16" borderId="20" xfId="101" applyNumberFormat="1" applyFont="1" applyFill="1" applyBorder="1" applyAlignment="1" quotePrefix="1">
      <alignment horizontal="right" vertical="center" wrapText="1"/>
    </xf>
    <xf numFmtId="178" fontId="5" fillId="16" borderId="20" xfId="101" applyNumberFormat="1" applyFont="1" applyFill="1" applyBorder="1" applyAlignment="1" quotePrefix="1">
      <alignment horizontal="right" vertical="center" wrapText="1"/>
    </xf>
    <xf numFmtId="178" fontId="2" fillId="7" borderId="22" xfId="101" applyNumberFormat="1" applyFont="1" applyFill="1" applyBorder="1" applyAlignment="1">
      <alignment horizontal="right"/>
    </xf>
    <xf numFmtId="178" fontId="0" fillId="0" borderId="57" xfId="101" applyNumberFormat="1" applyFont="1" applyBorder="1" applyAlignment="1">
      <alignment horizontal="right"/>
    </xf>
    <xf numFmtId="178" fontId="0" fillId="0" borderId="21" xfId="101" applyNumberFormat="1" applyFont="1" applyBorder="1" applyAlignment="1">
      <alignment horizontal="right"/>
    </xf>
    <xf numFmtId="178" fontId="2" fillId="0" borderId="21" xfId="101" applyNumberFormat="1" applyFont="1" applyBorder="1" applyAlignment="1">
      <alignment horizontal="right"/>
    </xf>
    <xf numFmtId="178" fontId="0" fillId="0" borderId="20" xfId="101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178" fontId="0" fillId="7" borderId="39" xfId="101" applyNumberFormat="1" applyFont="1" applyFill="1" applyBorder="1" applyAlignment="1">
      <alignment horizontal="right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1 2" xfId="40"/>
    <cellStyle name="S12" xfId="41"/>
    <cellStyle name="S12 2" xfId="42"/>
    <cellStyle name="S13" xfId="43"/>
    <cellStyle name="S13 2" xfId="44"/>
    <cellStyle name="S14" xfId="45"/>
    <cellStyle name="S14 2" xfId="46"/>
    <cellStyle name="S15" xfId="47"/>
    <cellStyle name="S15 2" xfId="48"/>
    <cellStyle name="S16" xfId="49"/>
    <cellStyle name="S16 2" xfId="50"/>
    <cellStyle name="S17" xfId="51"/>
    <cellStyle name="S17 2" xfId="52"/>
    <cellStyle name="S17 3" xfId="53"/>
    <cellStyle name="S18" xfId="54"/>
    <cellStyle name="S18 2" xfId="55"/>
    <cellStyle name="S18 3" xfId="56"/>
    <cellStyle name="S19" xfId="57"/>
    <cellStyle name="S19 2" xfId="58"/>
    <cellStyle name="S2" xfId="59"/>
    <cellStyle name="S2 2" xfId="60"/>
    <cellStyle name="S3" xfId="61"/>
    <cellStyle name="S3 2" xfId="62"/>
    <cellStyle name="S4" xfId="63"/>
    <cellStyle name="S4 2" xfId="64"/>
    <cellStyle name="S5" xfId="65"/>
    <cellStyle name="S5 2" xfId="66"/>
    <cellStyle name="S6" xfId="67"/>
    <cellStyle name="S6 2" xfId="68"/>
    <cellStyle name="S7" xfId="69"/>
    <cellStyle name="S7 2" xfId="70"/>
    <cellStyle name="S8" xfId="71"/>
    <cellStyle name="S8 2" xfId="72"/>
    <cellStyle name="S9" xfId="73"/>
    <cellStyle name="S9 2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2" sqref="I22"/>
    </sheetView>
  </sheetViews>
  <sheetFormatPr defaultColWidth="9.00390625" defaultRowHeight="12.75"/>
  <cols>
    <col min="1" max="1" width="6.25390625" style="7" customWidth="1"/>
    <col min="2" max="2" width="7.125" style="7" customWidth="1"/>
    <col min="3" max="3" width="23.25390625" style="27" customWidth="1"/>
    <col min="4" max="4" width="15.625" style="27" customWidth="1"/>
    <col min="5" max="5" width="12.375" style="27" customWidth="1"/>
    <col min="6" max="6" width="13.625" style="4" customWidth="1"/>
    <col min="7" max="16384" width="9.125" style="27" customWidth="1"/>
  </cols>
  <sheetData>
    <row r="1" spans="1:6" s="10" customFormat="1" ht="15.75">
      <c r="A1" s="425" t="s">
        <v>198</v>
      </c>
      <c r="B1" s="425"/>
      <c r="C1" s="425"/>
      <c r="D1" s="425"/>
      <c r="E1" s="425"/>
      <c r="F1" s="425"/>
    </row>
    <row r="2" spans="1:6" s="10" customFormat="1" ht="16.5" thickBot="1">
      <c r="A2" s="424"/>
      <c r="B2" s="424"/>
      <c r="C2" s="424"/>
      <c r="D2" s="424"/>
      <c r="E2" s="424"/>
      <c r="F2" s="424"/>
    </row>
    <row r="3" spans="1:6" s="24" customFormat="1" ht="12.75" customHeight="1">
      <c r="A3" s="415" t="s">
        <v>8</v>
      </c>
      <c r="B3" s="416"/>
      <c r="C3" s="413" t="s">
        <v>181</v>
      </c>
      <c r="D3" s="421" t="s">
        <v>159</v>
      </c>
      <c r="E3" s="421" t="s">
        <v>197</v>
      </c>
      <c r="F3" s="411" t="s">
        <v>48</v>
      </c>
    </row>
    <row r="4" spans="1:6" s="25" customFormat="1" ht="23.25" customHeight="1" thickBot="1">
      <c r="A4" s="417"/>
      <c r="B4" s="418"/>
      <c r="C4" s="414"/>
      <c r="D4" s="422"/>
      <c r="E4" s="422"/>
      <c r="F4" s="412"/>
    </row>
    <row r="5" spans="1:6" s="24" customFormat="1" ht="13.5" customHeight="1" thickBot="1">
      <c r="A5" s="419"/>
      <c r="B5" s="420"/>
      <c r="C5" s="241" t="s">
        <v>9</v>
      </c>
      <c r="D5" s="248">
        <v>1</v>
      </c>
      <c r="E5" s="248">
        <v>2</v>
      </c>
      <c r="F5" s="62">
        <v>3</v>
      </c>
    </row>
    <row r="6" spans="1:6" s="24" customFormat="1" ht="12.75">
      <c r="A6" s="382" t="s">
        <v>5</v>
      </c>
      <c r="B6" s="395" t="s">
        <v>6</v>
      </c>
      <c r="C6" s="51" t="s">
        <v>175</v>
      </c>
      <c r="D6" s="214">
        <v>215188.14</v>
      </c>
      <c r="E6" s="283">
        <v>154302</v>
      </c>
      <c r="F6" s="106">
        <f>SUM(D6:E6)</f>
        <v>369490.14</v>
      </c>
    </row>
    <row r="7" spans="1:6" s="24" customFormat="1" ht="12.75">
      <c r="A7" s="383"/>
      <c r="B7" s="381"/>
      <c r="C7" s="39" t="s">
        <v>1</v>
      </c>
      <c r="D7" s="173">
        <v>477798.99</v>
      </c>
      <c r="E7" s="284">
        <v>206292.63</v>
      </c>
      <c r="F7" s="86">
        <f>SUM(D7:E7)</f>
        <v>684091.62</v>
      </c>
    </row>
    <row r="8" spans="1:6" s="24" customFormat="1" ht="12.75">
      <c r="A8" s="383"/>
      <c r="B8" s="381"/>
      <c r="C8" s="39" t="s">
        <v>2</v>
      </c>
      <c r="D8" s="173">
        <v>388873.05</v>
      </c>
      <c r="E8" s="284">
        <v>148210.01</v>
      </c>
      <c r="F8" s="86">
        <f>SUM(D8:E8)</f>
        <v>537083.06</v>
      </c>
    </row>
    <row r="9" spans="1:6" s="24" customFormat="1" ht="12.75">
      <c r="A9" s="383"/>
      <c r="B9" s="381"/>
      <c r="C9" s="39" t="s">
        <v>4</v>
      </c>
      <c r="D9" s="173">
        <f>+D7</f>
        <v>477798.99</v>
      </c>
      <c r="E9" s="173">
        <f>+E7</f>
        <v>206292.63</v>
      </c>
      <c r="F9" s="86">
        <f>SUM(D9:E9)</f>
        <v>684091.62</v>
      </c>
    </row>
    <row r="10" spans="1:6" s="24" customFormat="1" ht="12.75">
      <c r="A10" s="383"/>
      <c r="B10" s="381"/>
      <c r="C10" s="39" t="s">
        <v>3</v>
      </c>
      <c r="D10" s="173">
        <f>D8</f>
        <v>388873.05</v>
      </c>
      <c r="E10" s="173">
        <f>E8</f>
        <v>148210.01</v>
      </c>
      <c r="F10" s="86">
        <f>SUM(D10:E10)</f>
        <v>537083.06</v>
      </c>
    </row>
    <row r="11" spans="1:6" s="3" customFormat="1" ht="13.5" thickBot="1">
      <c r="A11" s="383"/>
      <c r="B11" s="396"/>
      <c r="C11" s="40" t="s">
        <v>199</v>
      </c>
      <c r="D11" s="75">
        <f>D6+D7-D8</f>
        <v>304114.08</v>
      </c>
      <c r="E11" s="75">
        <f>E6+E7-E8</f>
        <v>212384.62</v>
      </c>
      <c r="F11" s="78">
        <f>SUM(A11:E11)</f>
        <v>516498.7</v>
      </c>
    </row>
    <row r="12" spans="1:6" s="3" customFormat="1" ht="12.75">
      <c r="A12" s="383"/>
      <c r="B12" s="395" t="s">
        <v>7</v>
      </c>
      <c r="C12" s="51" t="s">
        <v>175</v>
      </c>
      <c r="D12" s="214">
        <v>180217.59</v>
      </c>
      <c r="E12" s="283">
        <v>160600</v>
      </c>
      <c r="F12" s="106">
        <f>SUM(D12:E12)</f>
        <v>340817.58999999997</v>
      </c>
    </row>
    <row r="13" spans="1:6" s="3" customFormat="1" ht="12.75">
      <c r="A13" s="383"/>
      <c r="B13" s="381"/>
      <c r="C13" s="39" t="s">
        <v>1</v>
      </c>
      <c r="D13" s="173">
        <v>412761.66</v>
      </c>
      <c r="E13" s="284">
        <v>377042.33</v>
      </c>
      <c r="F13" s="86">
        <f>SUM(D13:E13)</f>
        <v>789803.99</v>
      </c>
    </row>
    <row r="14" spans="1:6" s="3" customFormat="1" ht="12.75">
      <c r="A14" s="383"/>
      <c r="B14" s="381"/>
      <c r="C14" s="39" t="s">
        <v>2</v>
      </c>
      <c r="D14" s="173">
        <v>326628.19</v>
      </c>
      <c r="E14" s="284">
        <v>242028.64</v>
      </c>
      <c r="F14" s="86">
        <f>SUM(D14:E14)</f>
        <v>568656.8300000001</v>
      </c>
    </row>
    <row r="15" spans="1:6" s="3" customFormat="1" ht="12.75">
      <c r="A15" s="383"/>
      <c r="B15" s="381"/>
      <c r="C15" s="39" t="s">
        <v>4</v>
      </c>
      <c r="D15" s="173">
        <f>+D13</f>
        <v>412761.66</v>
      </c>
      <c r="E15" s="173">
        <f>+E13</f>
        <v>377042.33</v>
      </c>
      <c r="F15" s="86">
        <f>SUM(D15:E15)</f>
        <v>789803.99</v>
      </c>
    </row>
    <row r="16" spans="1:6" s="3" customFormat="1" ht="12.75">
      <c r="A16" s="383"/>
      <c r="B16" s="381"/>
      <c r="C16" s="39" t="s">
        <v>3</v>
      </c>
      <c r="D16" s="173">
        <f>+D14</f>
        <v>326628.19</v>
      </c>
      <c r="E16" s="173">
        <f>+E14</f>
        <v>242028.64</v>
      </c>
      <c r="F16" s="86">
        <f>SUM(D16:E16)</f>
        <v>568656.8300000001</v>
      </c>
    </row>
    <row r="17" spans="1:6" s="3" customFormat="1" ht="13.5" thickBot="1">
      <c r="A17" s="383"/>
      <c r="B17" s="396"/>
      <c r="C17" s="40" t="s">
        <v>199</v>
      </c>
      <c r="D17" s="75">
        <f>D12+D13-D14</f>
        <v>266351.06</v>
      </c>
      <c r="E17" s="75">
        <f>E12+E13-E14</f>
        <v>295613.69000000006</v>
      </c>
      <c r="F17" s="78">
        <f>SUM(A17:E17)</f>
        <v>561964.75</v>
      </c>
    </row>
    <row r="18" spans="1:6" s="24" customFormat="1" ht="12.75">
      <c r="A18" s="383"/>
      <c r="B18" s="388" t="s">
        <v>138</v>
      </c>
      <c r="C18" s="51" t="s">
        <v>175</v>
      </c>
      <c r="D18" s="172">
        <v>288.01</v>
      </c>
      <c r="E18" s="368"/>
      <c r="F18" s="90">
        <f aca="true" t="shared" si="0" ref="F18:F55">SUM(D18:E18)</f>
        <v>288.01</v>
      </c>
    </row>
    <row r="19" spans="1:6" s="24" customFormat="1" ht="12.75">
      <c r="A19" s="383"/>
      <c r="B19" s="381"/>
      <c r="C19" s="39" t="s">
        <v>1</v>
      </c>
      <c r="D19" s="173">
        <v>-148.28</v>
      </c>
      <c r="E19" s="284"/>
      <c r="F19" s="86">
        <f t="shared" si="0"/>
        <v>-148.28</v>
      </c>
    </row>
    <row r="20" spans="1:6" s="24" customFormat="1" ht="12.75">
      <c r="A20" s="383"/>
      <c r="B20" s="381"/>
      <c r="C20" s="39" t="s">
        <v>2</v>
      </c>
      <c r="D20" s="173">
        <v>139.73</v>
      </c>
      <c r="E20" s="284"/>
      <c r="F20" s="86">
        <f t="shared" si="0"/>
        <v>139.73</v>
      </c>
    </row>
    <row r="21" spans="1:6" s="24" customFormat="1" ht="12.75">
      <c r="A21" s="383"/>
      <c r="B21" s="381"/>
      <c r="C21" s="39" t="s">
        <v>4</v>
      </c>
      <c r="D21" s="173">
        <f>+D19</f>
        <v>-148.28</v>
      </c>
      <c r="E21" s="325"/>
      <c r="F21" s="86">
        <f t="shared" si="0"/>
        <v>-148.28</v>
      </c>
    </row>
    <row r="22" spans="1:6" s="24" customFormat="1" ht="12.75">
      <c r="A22" s="383"/>
      <c r="B22" s="381"/>
      <c r="C22" s="39" t="s">
        <v>3</v>
      </c>
      <c r="D22" s="173">
        <f>+D20</f>
        <v>139.73</v>
      </c>
      <c r="E22" s="325"/>
      <c r="F22" s="86">
        <f t="shared" si="0"/>
        <v>139.73</v>
      </c>
    </row>
    <row r="23" spans="1:6" s="3" customFormat="1" ht="13.5" thickBot="1">
      <c r="A23" s="384"/>
      <c r="B23" s="396"/>
      <c r="C23" s="40" t="s">
        <v>199</v>
      </c>
      <c r="D23" s="75">
        <f>D18+D19-D20</f>
        <v>0</v>
      </c>
      <c r="E23" s="239"/>
      <c r="F23" s="78">
        <f t="shared" si="0"/>
        <v>0</v>
      </c>
    </row>
    <row r="24" spans="1:6" s="3" customFormat="1" ht="12.75" customHeight="1" hidden="1">
      <c r="A24" s="401" t="s">
        <v>62</v>
      </c>
      <c r="B24" s="402" t="s">
        <v>10</v>
      </c>
      <c r="C24" s="213" t="s">
        <v>156</v>
      </c>
      <c r="D24" s="90"/>
      <c r="E24" s="255"/>
      <c r="F24" s="90">
        <f t="shared" si="0"/>
        <v>0</v>
      </c>
    </row>
    <row r="25" spans="1:6" s="3" customFormat="1" ht="12.75" customHeight="1" hidden="1">
      <c r="A25" s="379"/>
      <c r="B25" s="375"/>
      <c r="C25" s="39" t="s">
        <v>1</v>
      </c>
      <c r="D25" s="86"/>
      <c r="E25" s="208"/>
      <c r="F25" s="86">
        <f t="shared" si="0"/>
        <v>0</v>
      </c>
    </row>
    <row r="26" spans="1:6" s="3" customFormat="1" ht="12.75" customHeight="1" hidden="1">
      <c r="A26" s="379"/>
      <c r="B26" s="375"/>
      <c r="C26" s="39" t="s">
        <v>2</v>
      </c>
      <c r="D26" s="86"/>
      <c r="E26" s="208"/>
      <c r="F26" s="86">
        <f t="shared" si="0"/>
        <v>0</v>
      </c>
    </row>
    <row r="27" spans="1:6" s="3" customFormat="1" ht="12.75" customHeight="1" hidden="1">
      <c r="A27" s="379"/>
      <c r="B27" s="375"/>
      <c r="C27" s="39" t="s">
        <v>4</v>
      </c>
      <c r="D27" s="112"/>
      <c r="E27" s="256"/>
      <c r="F27" s="86">
        <f t="shared" si="0"/>
        <v>0</v>
      </c>
    </row>
    <row r="28" spans="1:6" s="3" customFormat="1" ht="12.75" customHeight="1" hidden="1">
      <c r="A28" s="379"/>
      <c r="B28" s="375"/>
      <c r="C28" s="39" t="s">
        <v>3</v>
      </c>
      <c r="D28" s="112"/>
      <c r="E28" s="256"/>
      <c r="F28" s="86">
        <f t="shared" si="0"/>
        <v>0</v>
      </c>
    </row>
    <row r="29" spans="1:6" s="3" customFormat="1" ht="12.75" customHeight="1" hidden="1">
      <c r="A29" s="379"/>
      <c r="B29" s="375"/>
      <c r="C29" s="242" t="s">
        <v>160</v>
      </c>
      <c r="D29" s="110"/>
      <c r="E29" s="257"/>
      <c r="F29" s="86">
        <f t="shared" si="0"/>
        <v>0</v>
      </c>
    </row>
    <row r="30" spans="1:6" s="3" customFormat="1" ht="12.75" customHeight="1" hidden="1">
      <c r="A30" s="379"/>
      <c r="B30" s="375" t="s">
        <v>12</v>
      </c>
      <c r="C30" s="243" t="s">
        <v>156</v>
      </c>
      <c r="D30" s="86"/>
      <c r="E30" s="208"/>
      <c r="F30" s="86">
        <f t="shared" si="0"/>
        <v>0</v>
      </c>
    </row>
    <row r="31" spans="1:6" s="3" customFormat="1" ht="12.75" customHeight="1" hidden="1">
      <c r="A31" s="379"/>
      <c r="B31" s="375"/>
      <c r="C31" s="39" t="s">
        <v>1</v>
      </c>
      <c r="D31" s="86"/>
      <c r="E31" s="208"/>
      <c r="F31" s="86">
        <f t="shared" si="0"/>
        <v>0</v>
      </c>
    </row>
    <row r="32" spans="1:6" s="3" customFormat="1" ht="12.75" customHeight="1" hidden="1">
      <c r="A32" s="379"/>
      <c r="B32" s="375"/>
      <c r="C32" s="39" t="s">
        <v>2</v>
      </c>
      <c r="D32" s="86"/>
      <c r="E32" s="208"/>
      <c r="F32" s="86">
        <f t="shared" si="0"/>
        <v>0</v>
      </c>
    </row>
    <row r="33" spans="1:6" s="3" customFormat="1" ht="12.75" customHeight="1" hidden="1">
      <c r="A33" s="379"/>
      <c r="B33" s="375"/>
      <c r="C33" s="39" t="s">
        <v>4</v>
      </c>
      <c r="D33" s="112"/>
      <c r="E33" s="256"/>
      <c r="F33" s="86">
        <f t="shared" si="0"/>
        <v>0</v>
      </c>
    </row>
    <row r="34" spans="1:6" s="3" customFormat="1" ht="12.75" customHeight="1" hidden="1">
      <c r="A34" s="379"/>
      <c r="B34" s="375"/>
      <c r="C34" s="39" t="s">
        <v>3</v>
      </c>
      <c r="D34" s="112"/>
      <c r="E34" s="256"/>
      <c r="F34" s="86">
        <f t="shared" si="0"/>
        <v>0</v>
      </c>
    </row>
    <row r="35" spans="1:6" s="3" customFormat="1" ht="12.75" customHeight="1" hidden="1">
      <c r="A35" s="380"/>
      <c r="B35" s="403"/>
      <c r="C35" s="244" t="s">
        <v>160</v>
      </c>
      <c r="D35" s="114"/>
      <c r="E35" s="258"/>
      <c r="F35" s="89">
        <f t="shared" si="0"/>
        <v>0</v>
      </c>
    </row>
    <row r="36" spans="1:6" s="24" customFormat="1" ht="12.75" customHeight="1">
      <c r="A36" s="382" t="s">
        <v>11</v>
      </c>
      <c r="B36" s="395" t="s">
        <v>10</v>
      </c>
      <c r="C36" s="51" t="s">
        <v>175</v>
      </c>
      <c r="D36" s="214">
        <v>202595</v>
      </c>
      <c r="E36" s="283">
        <v>842676</v>
      </c>
      <c r="F36" s="106">
        <f t="shared" si="0"/>
        <v>1045271</v>
      </c>
    </row>
    <row r="37" spans="1:6" s="24" customFormat="1" ht="12.75">
      <c r="A37" s="383"/>
      <c r="B37" s="381"/>
      <c r="C37" s="39" t="s">
        <v>1</v>
      </c>
      <c r="D37" s="173">
        <v>1167925.53</v>
      </c>
      <c r="E37" s="284">
        <v>2833255.5</v>
      </c>
      <c r="F37" s="86">
        <f t="shared" si="0"/>
        <v>4001181.0300000003</v>
      </c>
    </row>
    <row r="38" spans="1:6" s="24" customFormat="1" ht="12.75">
      <c r="A38" s="383"/>
      <c r="B38" s="381"/>
      <c r="C38" s="39" t="s">
        <v>2</v>
      </c>
      <c r="D38" s="173">
        <v>2448932.86</v>
      </c>
      <c r="E38" s="284">
        <v>2415193.15</v>
      </c>
      <c r="F38" s="86">
        <f t="shared" si="0"/>
        <v>4864126.01</v>
      </c>
    </row>
    <row r="39" spans="1:6" s="24" customFormat="1" ht="12.75">
      <c r="A39" s="383"/>
      <c r="B39" s="381"/>
      <c r="C39" s="39" t="s">
        <v>4</v>
      </c>
      <c r="D39" s="173">
        <f>+D37</f>
        <v>1167925.53</v>
      </c>
      <c r="E39" s="325">
        <f>+E37</f>
        <v>2833255.5</v>
      </c>
      <c r="F39" s="86">
        <f t="shared" si="0"/>
        <v>4001181.0300000003</v>
      </c>
    </row>
    <row r="40" spans="1:6" s="24" customFormat="1" ht="12.75">
      <c r="A40" s="383"/>
      <c r="B40" s="381"/>
      <c r="C40" s="39" t="s">
        <v>3</v>
      </c>
      <c r="D40" s="173">
        <f>+D38</f>
        <v>2448932.86</v>
      </c>
      <c r="E40" s="325">
        <f>+E38</f>
        <v>2415193.15</v>
      </c>
      <c r="F40" s="86">
        <f t="shared" si="0"/>
        <v>4864126.01</v>
      </c>
    </row>
    <row r="41" spans="1:6" s="3" customFormat="1" ht="13.5" thickBot="1">
      <c r="A41" s="383"/>
      <c r="B41" s="396"/>
      <c r="C41" s="40" t="s">
        <v>199</v>
      </c>
      <c r="D41" s="75">
        <f>D36+D37-D38</f>
        <v>-1078412.3299999998</v>
      </c>
      <c r="E41" s="75">
        <f>E36+E37-E38</f>
        <v>1260738.35</v>
      </c>
      <c r="F41" s="78">
        <f t="shared" si="0"/>
        <v>182326.02000000025</v>
      </c>
    </row>
    <row r="42" spans="1:8" s="24" customFormat="1" ht="12.75">
      <c r="A42" s="383"/>
      <c r="B42" s="388" t="s">
        <v>12</v>
      </c>
      <c r="C42" s="51" t="s">
        <v>175</v>
      </c>
      <c r="D42" s="172">
        <v>277460.63</v>
      </c>
      <c r="E42" s="368">
        <v>285136</v>
      </c>
      <c r="F42" s="90">
        <f t="shared" si="0"/>
        <v>562596.63</v>
      </c>
      <c r="H42" s="24">
        <v>12</v>
      </c>
    </row>
    <row r="43" spans="1:6" s="24" customFormat="1" ht="12.75">
      <c r="A43" s="383"/>
      <c r="B43" s="381"/>
      <c r="C43" s="39" t="s">
        <v>1</v>
      </c>
      <c r="D43" s="173">
        <v>599157.1</v>
      </c>
      <c r="E43" s="284">
        <v>530040.91</v>
      </c>
      <c r="F43" s="86">
        <f t="shared" si="0"/>
        <v>1129198.01</v>
      </c>
    </row>
    <row r="44" spans="1:6" s="24" customFormat="1" ht="12.75">
      <c r="A44" s="383"/>
      <c r="B44" s="381"/>
      <c r="C44" s="39" t="s">
        <v>2</v>
      </c>
      <c r="D44" s="173">
        <v>503884.47</v>
      </c>
      <c r="E44" s="284">
        <v>406889.88</v>
      </c>
      <c r="F44" s="86">
        <f t="shared" si="0"/>
        <v>910774.35</v>
      </c>
    </row>
    <row r="45" spans="1:6" s="24" customFormat="1" ht="12.75">
      <c r="A45" s="383"/>
      <c r="B45" s="381"/>
      <c r="C45" s="39" t="s">
        <v>4</v>
      </c>
      <c r="D45" s="173">
        <f>+D43</f>
        <v>599157.1</v>
      </c>
      <c r="E45" s="173">
        <f>+E43</f>
        <v>530040.91</v>
      </c>
      <c r="F45" s="86">
        <f t="shared" si="0"/>
        <v>1129198.01</v>
      </c>
    </row>
    <row r="46" spans="1:6" s="24" customFormat="1" ht="12.75">
      <c r="A46" s="383"/>
      <c r="B46" s="381"/>
      <c r="C46" s="39" t="s">
        <v>3</v>
      </c>
      <c r="D46" s="173">
        <v>535730.64</v>
      </c>
      <c r="E46" s="173">
        <f>+E44</f>
        <v>406889.88</v>
      </c>
      <c r="F46" s="86">
        <f t="shared" si="0"/>
        <v>942620.52</v>
      </c>
    </row>
    <row r="47" spans="1:6" s="3" customFormat="1" ht="13.5" thickBot="1">
      <c r="A47" s="383"/>
      <c r="B47" s="389"/>
      <c r="C47" s="40" t="s">
        <v>199</v>
      </c>
      <c r="D47" s="114">
        <f>D42+D43-D44</f>
        <v>372733.26</v>
      </c>
      <c r="E47" s="114">
        <f>E42+E43-E44</f>
        <v>408287.03</v>
      </c>
      <c r="F47" s="115">
        <f t="shared" si="0"/>
        <v>781020.29</v>
      </c>
    </row>
    <row r="48" spans="1:6" s="3" customFormat="1" ht="12.75">
      <c r="A48" s="383"/>
      <c r="B48" s="395" t="s">
        <v>139</v>
      </c>
      <c r="C48" s="51" t="s">
        <v>175</v>
      </c>
      <c r="D48" s="214">
        <v>463.52</v>
      </c>
      <c r="E48" s="283"/>
      <c r="F48" s="106">
        <f t="shared" si="0"/>
        <v>463.52</v>
      </c>
    </row>
    <row r="49" spans="1:6" s="3" customFormat="1" ht="12.75">
      <c r="A49" s="383"/>
      <c r="B49" s="381"/>
      <c r="C49" s="39" t="s">
        <v>1</v>
      </c>
      <c r="D49" s="173">
        <v>-242.88</v>
      </c>
      <c r="E49" s="284"/>
      <c r="F49" s="86">
        <f t="shared" si="0"/>
        <v>-242.88</v>
      </c>
    </row>
    <row r="50" spans="1:6" s="3" customFormat="1" ht="12.75">
      <c r="A50" s="383"/>
      <c r="B50" s="381"/>
      <c r="C50" s="39" t="s">
        <v>2</v>
      </c>
      <c r="D50" s="173">
        <v>220.64</v>
      </c>
      <c r="E50" s="284"/>
      <c r="F50" s="86">
        <f t="shared" si="0"/>
        <v>220.64</v>
      </c>
    </row>
    <row r="51" spans="1:6" s="3" customFormat="1" ht="12.75">
      <c r="A51" s="383"/>
      <c r="B51" s="381"/>
      <c r="C51" s="39" t="s">
        <v>4</v>
      </c>
      <c r="D51" s="173">
        <f>+D49</f>
        <v>-242.88</v>
      </c>
      <c r="E51" s="325"/>
      <c r="F51" s="86">
        <f>SUM(D51:E51)</f>
        <v>-242.88</v>
      </c>
    </row>
    <row r="52" spans="1:6" s="3" customFormat="1" ht="12.75">
      <c r="A52" s="383"/>
      <c r="B52" s="381"/>
      <c r="C52" s="39" t="s">
        <v>3</v>
      </c>
      <c r="D52" s="173">
        <f>+D50</f>
        <v>220.64</v>
      </c>
      <c r="E52" s="325"/>
      <c r="F52" s="86">
        <f t="shared" si="0"/>
        <v>220.64</v>
      </c>
    </row>
    <row r="53" spans="1:6" s="3" customFormat="1" ht="13.5" thickBot="1">
      <c r="A53" s="383"/>
      <c r="B53" s="396"/>
      <c r="C53" s="40" t="s">
        <v>199</v>
      </c>
      <c r="D53" s="75">
        <f>D48+D49-D50</f>
        <v>0</v>
      </c>
      <c r="E53" s="239"/>
      <c r="F53" s="78">
        <f t="shared" si="0"/>
        <v>0</v>
      </c>
    </row>
    <row r="54" spans="1:6" s="3" customFormat="1" ht="12.75">
      <c r="A54" s="383"/>
      <c r="B54" s="388" t="s">
        <v>141</v>
      </c>
      <c r="C54" s="51" t="s">
        <v>175</v>
      </c>
      <c r="D54" s="172">
        <v>-16808.16</v>
      </c>
      <c r="E54" s="369"/>
      <c r="F54" s="106">
        <f t="shared" si="0"/>
        <v>-16808.16</v>
      </c>
    </row>
    <row r="55" spans="1:6" s="3" customFormat="1" ht="12.75">
      <c r="A55" s="383"/>
      <c r="B55" s="381"/>
      <c r="C55" s="39" t="s">
        <v>1</v>
      </c>
      <c r="D55" s="173">
        <v>16808.16</v>
      </c>
      <c r="E55" s="325"/>
      <c r="F55" s="86">
        <f t="shared" si="0"/>
        <v>16808.16</v>
      </c>
    </row>
    <row r="56" spans="1:6" s="3" customFormat="1" ht="12.75">
      <c r="A56" s="383"/>
      <c r="B56" s="381"/>
      <c r="C56" s="39" t="s">
        <v>2</v>
      </c>
      <c r="D56" s="173">
        <v>0</v>
      </c>
      <c r="E56" s="325"/>
      <c r="F56" s="90">
        <f>SUM(D56:E56)</f>
        <v>0</v>
      </c>
    </row>
    <row r="57" spans="1:6" s="3" customFormat="1" ht="12.75">
      <c r="A57" s="383"/>
      <c r="B57" s="381"/>
      <c r="C57" s="39" t="s">
        <v>4</v>
      </c>
      <c r="D57" s="173">
        <f>+D55</f>
        <v>16808.16</v>
      </c>
      <c r="E57" s="325"/>
      <c r="F57" s="90">
        <f>SUM(D57:E57)</f>
        <v>16808.16</v>
      </c>
    </row>
    <row r="58" spans="1:6" s="3" customFormat="1" ht="12.75">
      <c r="A58" s="383"/>
      <c r="B58" s="381"/>
      <c r="C58" s="39" t="s">
        <v>3</v>
      </c>
      <c r="D58" s="173">
        <f>+D56</f>
        <v>0</v>
      </c>
      <c r="E58" s="325"/>
      <c r="F58" s="90">
        <f>SUM(D58:E58)</f>
        <v>0</v>
      </c>
    </row>
    <row r="59" spans="1:6" s="3" customFormat="1" ht="13.5" thickBot="1">
      <c r="A59" s="384"/>
      <c r="B59" s="381"/>
      <c r="C59" s="40" t="s">
        <v>199</v>
      </c>
      <c r="D59" s="110">
        <f>D54+D55-D56</f>
        <v>0</v>
      </c>
      <c r="E59" s="370"/>
      <c r="F59" s="110">
        <f>F54+F55-F56</f>
        <v>0</v>
      </c>
    </row>
    <row r="60" spans="1:6" s="3" customFormat="1" ht="13.5" customHeight="1" hidden="1" thickBot="1">
      <c r="A60" s="382" t="s">
        <v>13</v>
      </c>
      <c r="B60" s="381" t="s">
        <v>10</v>
      </c>
      <c r="C60" s="243" t="s">
        <v>156</v>
      </c>
      <c r="D60" s="86"/>
      <c r="E60" s="208"/>
      <c r="F60" s="86">
        <f aca="true" t="shared" si="1" ref="F60:F107">SUM(D60:E60)</f>
        <v>0</v>
      </c>
    </row>
    <row r="61" spans="1:6" s="3" customFormat="1" ht="13.5" customHeight="1" hidden="1" thickBot="1">
      <c r="A61" s="404"/>
      <c r="B61" s="381"/>
      <c r="C61" s="39" t="s">
        <v>1</v>
      </c>
      <c r="D61" s="86"/>
      <c r="E61" s="208"/>
      <c r="F61" s="86">
        <f t="shared" si="1"/>
        <v>0</v>
      </c>
    </row>
    <row r="62" spans="1:6" s="3" customFormat="1" ht="13.5" customHeight="1" hidden="1" thickBot="1">
      <c r="A62" s="404"/>
      <c r="B62" s="381"/>
      <c r="C62" s="39" t="s">
        <v>2</v>
      </c>
      <c r="D62" s="86"/>
      <c r="E62" s="208"/>
      <c r="F62" s="86">
        <f t="shared" si="1"/>
        <v>0</v>
      </c>
    </row>
    <row r="63" spans="1:6" s="3" customFormat="1" ht="13.5" customHeight="1" hidden="1" thickBot="1">
      <c r="A63" s="404"/>
      <c r="B63" s="381"/>
      <c r="C63" s="39" t="s">
        <v>4</v>
      </c>
      <c r="D63" s="112"/>
      <c r="E63" s="256"/>
      <c r="F63" s="86">
        <f t="shared" si="1"/>
        <v>0</v>
      </c>
    </row>
    <row r="64" spans="1:6" s="3" customFormat="1" ht="13.5" customHeight="1" hidden="1" thickBot="1">
      <c r="A64" s="404"/>
      <c r="B64" s="381"/>
      <c r="C64" s="39" t="s">
        <v>3</v>
      </c>
      <c r="D64" s="112"/>
      <c r="E64" s="256"/>
      <c r="F64" s="86">
        <f t="shared" si="1"/>
        <v>0</v>
      </c>
    </row>
    <row r="65" spans="1:6" s="3" customFormat="1" ht="13.5" customHeight="1" hidden="1" thickBot="1">
      <c r="A65" s="404"/>
      <c r="B65" s="381"/>
      <c r="C65" s="242" t="s">
        <v>160</v>
      </c>
      <c r="D65" s="110"/>
      <c r="E65" s="257"/>
      <c r="F65" s="86">
        <f t="shared" si="1"/>
        <v>0</v>
      </c>
    </row>
    <row r="66" spans="1:6" s="3" customFormat="1" ht="13.5" customHeight="1" hidden="1" thickBot="1">
      <c r="A66" s="404"/>
      <c r="B66" s="381" t="s">
        <v>12</v>
      </c>
      <c r="C66" s="243" t="s">
        <v>156</v>
      </c>
      <c r="D66" s="86"/>
      <c r="E66" s="208"/>
      <c r="F66" s="86">
        <f t="shared" si="1"/>
        <v>0</v>
      </c>
    </row>
    <row r="67" spans="1:6" s="3" customFormat="1" ht="13.5" customHeight="1" hidden="1" thickBot="1">
      <c r="A67" s="404"/>
      <c r="B67" s="381"/>
      <c r="C67" s="39" t="s">
        <v>1</v>
      </c>
      <c r="D67" s="86"/>
      <c r="E67" s="208"/>
      <c r="F67" s="86">
        <f t="shared" si="1"/>
        <v>0</v>
      </c>
    </row>
    <row r="68" spans="1:6" s="3" customFormat="1" ht="13.5" customHeight="1" hidden="1" thickBot="1">
      <c r="A68" s="404"/>
      <c r="B68" s="381"/>
      <c r="C68" s="39" t="s">
        <v>2</v>
      </c>
      <c r="D68" s="86"/>
      <c r="E68" s="208"/>
      <c r="F68" s="86">
        <f t="shared" si="1"/>
        <v>0</v>
      </c>
    </row>
    <row r="69" spans="1:6" s="3" customFormat="1" ht="13.5" customHeight="1" hidden="1" thickBot="1">
      <c r="A69" s="404"/>
      <c r="B69" s="381"/>
      <c r="C69" s="39" t="s">
        <v>4</v>
      </c>
      <c r="D69" s="112"/>
      <c r="E69" s="256"/>
      <c r="F69" s="86">
        <f t="shared" si="1"/>
        <v>0</v>
      </c>
    </row>
    <row r="70" spans="1:6" s="3" customFormat="1" ht="13.5" customHeight="1" hidden="1" thickBot="1">
      <c r="A70" s="404"/>
      <c r="B70" s="381"/>
      <c r="C70" s="39" t="s">
        <v>3</v>
      </c>
      <c r="D70" s="112"/>
      <c r="E70" s="256"/>
      <c r="F70" s="86">
        <f t="shared" si="1"/>
        <v>0</v>
      </c>
    </row>
    <row r="71" spans="1:6" s="3" customFormat="1" ht="13.5" customHeight="1" hidden="1" thickBot="1">
      <c r="A71" s="404"/>
      <c r="B71" s="389"/>
      <c r="C71" s="244" t="s">
        <v>160</v>
      </c>
      <c r="D71" s="114"/>
      <c r="E71" s="258"/>
      <c r="F71" s="89">
        <f t="shared" si="1"/>
        <v>0</v>
      </c>
    </row>
    <row r="72" spans="1:6" s="3" customFormat="1" ht="13.5" customHeight="1">
      <c r="A72" s="405"/>
      <c r="B72" s="385" t="s">
        <v>14</v>
      </c>
      <c r="C72" s="51" t="s">
        <v>175</v>
      </c>
      <c r="D72" s="214">
        <f>0.11+78767.34</f>
        <v>78767.45</v>
      </c>
      <c r="E72" s="283">
        <v>52507</v>
      </c>
      <c r="F72" s="106">
        <f t="shared" si="1"/>
        <v>131274.45</v>
      </c>
    </row>
    <row r="73" spans="1:6" s="3" customFormat="1" ht="12.75" customHeight="1">
      <c r="A73" s="405"/>
      <c r="B73" s="372"/>
      <c r="C73" s="39" t="s">
        <v>1</v>
      </c>
      <c r="D73" s="173">
        <v>133251.85</v>
      </c>
      <c r="E73" s="284">
        <v>159652.68</v>
      </c>
      <c r="F73" s="86">
        <f t="shared" si="1"/>
        <v>292904.53</v>
      </c>
    </row>
    <row r="74" spans="1:6" s="3" customFormat="1" ht="12.75" customHeight="1">
      <c r="A74" s="405"/>
      <c r="B74" s="372"/>
      <c r="C74" s="39" t="s">
        <v>2</v>
      </c>
      <c r="D74" s="173">
        <f>0.11+123007.9</f>
        <v>123008.01</v>
      </c>
      <c r="E74" s="284">
        <v>109280.39</v>
      </c>
      <c r="F74" s="86">
        <f t="shared" si="1"/>
        <v>232288.4</v>
      </c>
    </row>
    <row r="75" spans="1:6" s="3" customFormat="1" ht="12.75" customHeight="1">
      <c r="A75" s="405"/>
      <c r="B75" s="372"/>
      <c r="C75" s="39" t="s">
        <v>4</v>
      </c>
      <c r="D75" s="173">
        <f>+D73</f>
        <v>133251.85</v>
      </c>
      <c r="E75" s="325">
        <f>+E73</f>
        <v>159652.68</v>
      </c>
      <c r="F75" s="86">
        <f t="shared" si="1"/>
        <v>292904.53</v>
      </c>
    </row>
    <row r="76" spans="1:6" s="3" customFormat="1" ht="13.5" customHeight="1">
      <c r="A76" s="405"/>
      <c r="B76" s="372"/>
      <c r="C76" s="39" t="s">
        <v>3</v>
      </c>
      <c r="D76" s="173">
        <f>+D74</f>
        <v>123008.01</v>
      </c>
      <c r="E76" s="325">
        <f>+E74</f>
        <v>109280.39</v>
      </c>
      <c r="F76" s="86">
        <f t="shared" si="1"/>
        <v>232288.4</v>
      </c>
    </row>
    <row r="77" spans="1:6" s="3" customFormat="1" ht="15" customHeight="1" thickBot="1">
      <c r="A77" s="405"/>
      <c r="B77" s="394"/>
      <c r="C77" s="40" t="s">
        <v>199</v>
      </c>
      <c r="D77" s="75">
        <f>D72+D73-D74</f>
        <v>89011.29</v>
      </c>
      <c r="E77" s="75">
        <f>E72+E73-E74</f>
        <v>102879.29</v>
      </c>
      <c r="F77" s="78">
        <f t="shared" si="1"/>
        <v>191890.58</v>
      </c>
    </row>
    <row r="78" spans="1:6" s="24" customFormat="1" ht="12.75">
      <c r="A78" s="404"/>
      <c r="B78" s="423" t="s">
        <v>15</v>
      </c>
      <c r="C78" s="51" t="s">
        <v>175</v>
      </c>
      <c r="D78" s="172">
        <f>-444.53+10061.16</f>
        <v>9616.63</v>
      </c>
      <c r="E78" s="172">
        <v>4309.98</v>
      </c>
      <c r="F78" s="90">
        <f t="shared" si="1"/>
        <v>13926.609999999999</v>
      </c>
    </row>
    <row r="79" spans="1:6" s="24" customFormat="1" ht="12.75">
      <c r="A79" s="404"/>
      <c r="B79" s="386"/>
      <c r="C79" s="39" t="s">
        <v>1</v>
      </c>
      <c r="D79" s="173">
        <f>444.53+44441.25</f>
        <v>44885.78</v>
      </c>
      <c r="E79" s="173">
        <v>41068.16</v>
      </c>
      <c r="F79" s="86">
        <f t="shared" si="1"/>
        <v>85953.94</v>
      </c>
    </row>
    <row r="80" spans="1:6" s="24" customFormat="1" ht="12.75">
      <c r="A80" s="404"/>
      <c r="B80" s="386"/>
      <c r="C80" s="39" t="s">
        <v>2</v>
      </c>
      <c r="D80" s="173">
        <v>43267.13</v>
      </c>
      <c r="E80" s="173">
        <v>38916.31</v>
      </c>
      <c r="F80" s="86">
        <f t="shared" si="1"/>
        <v>82183.44</v>
      </c>
    </row>
    <row r="81" spans="1:6" s="24" customFormat="1" ht="12.75">
      <c r="A81" s="404"/>
      <c r="B81" s="386"/>
      <c r="C81" s="39" t="s">
        <v>4</v>
      </c>
      <c r="D81" s="173">
        <f>+D79</f>
        <v>44885.78</v>
      </c>
      <c r="E81" s="173">
        <f>+E79</f>
        <v>41068.16</v>
      </c>
      <c r="F81" s="86">
        <f t="shared" si="1"/>
        <v>85953.94</v>
      </c>
    </row>
    <row r="82" spans="1:6" s="24" customFormat="1" ht="12.75">
      <c r="A82" s="404"/>
      <c r="B82" s="386"/>
      <c r="C82" s="39" t="s">
        <v>3</v>
      </c>
      <c r="D82" s="173">
        <f>+D80</f>
        <v>43267.13</v>
      </c>
      <c r="E82" s="173">
        <f>E81+E78</f>
        <v>45378.14</v>
      </c>
      <c r="F82" s="86">
        <f t="shared" si="1"/>
        <v>88645.26999999999</v>
      </c>
    </row>
    <row r="83" spans="1:6" s="3" customFormat="1" ht="13.5" thickBot="1">
      <c r="A83" s="406"/>
      <c r="B83" s="386"/>
      <c r="C83" s="40" t="s">
        <v>199</v>
      </c>
      <c r="D83" s="110">
        <f>D78+D79-D80</f>
        <v>11235.279999999999</v>
      </c>
      <c r="E83" s="110">
        <f>E78+E79-E80</f>
        <v>6461.830000000002</v>
      </c>
      <c r="F83" s="111">
        <f t="shared" si="1"/>
        <v>17697.11</v>
      </c>
    </row>
    <row r="84" spans="1:6" s="3" customFormat="1" ht="14.25" customHeight="1" hidden="1" thickBot="1">
      <c r="A84" s="382" t="s">
        <v>17</v>
      </c>
      <c r="B84" s="386" t="s">
        <v>43</v>
      </c>
      <c r="C84" s="243" t="s">
        <v>156</v>
      </c>
      <c r="D84" s="86"/>
      <c r="E84" s="86"/>
      <c r="F84" s="86">
        <f t="shared" si="1"/>
        <v>0</v>
      </c>
    </row>
    <row r="85" spans="1:6" s="3" customFormat="1" ht="13.5" customHeight="1" hidden="1" thickBot="1">
      <c r="A85" s="383"/>
      <c r="B85" s="386"/>
      <c r="C85" s="39" t="s">
        <v>1</v>
      </c>
      <c r="D85" s="86"/>
      <c r="E85" s="86"/>
      <c r="F85" s="86">
        <f t="shared" si="1"/>
        <v>0</v>
      </c>
    </row>
    <row r="86" spans="1:6" s="3" customFormat="1" ht="13.5" customHeight="1" hidden="1" thickBot="1">
      <c r="A86" s="383"/>
      <c r="B86" s="386"/>
      <c r="C86" s="39" t="s">
        <v>2</v>
      </c>
      <c r="D86" s="86"/>
      <c r="E86" s="86"/>
      <c r="F86" s="86">
        <f t="shared" si="1"/>
        <v>0</v>
      </c>
    </row>
    <row r="87" spans="1:6" s="3" customFormat="1" ht="13.5" customHeight="1" hidden="1" thickBot="1">
      <c r="A87" s="383"/>
      <c r="B87" s="386"/>
      <c r="C87" s="39" t="s">
        <v>4</v>
      </c>
      <c r="D87" s="86"/>
      <c r="E87" s="86"/>
      <c r="F87" s="86">
        <f t="shared" si="1"/>
        <v>0</v>
      </c>
    </row>
    <row r="88" spans="1:6" s="3" customFormat="1" ht="13.5" customHeight="1" hidden="1" thickBot="1">
      <c r="A88" s="383"/>
      <c r="B88" s="386"/>
      <c r="C88" s="39" t="s">
        <v>3</v>
      </c>
      <c r="D88" s="110"/>
      <c r="E88" s="110"/>
      <c r="F88" s="86">
        <f t="shared" si="1"/>
        <v>0</v>
      </c>
    </row>
    <row r="89" spans="1:6" s="3" customFormat="1" ht="13.5" customHeight="1" hidden="1" thickBot="1">
      <c r="A89" s="383"/>
      <c r="B89" s="386"/>
      <c r="C89" s="242" t="s">
        <v>160</v>
      </c>
      <c r="D89" s="110"/>
      <c r="E89" s="110"/>
      <c r="F89" s="86">
        <f t="shared" si="1"/>
        <v>0</v>
      </c>
    </row>
    <row r="90" spans="1:6" s="3" customFormat="1" ht="13.5" customHeight="1" hidden="1" thickBot="1">
      <c r="A90" s="383"/>
      <c r="B90" s="386" t="s">
        <v>18</v>
      </c>
      <c r="C90" s="243" t="s">
        <v>156</v>
      </c>
      <c r="D90" s="86"/>
      <c r="E90" s="86"/>
      <c r="F90" s="86">
        <f t="shared" si="1"/>
        <v>0</v>
      </c>
    </row>
    <row r="91" spans="1:6" s="3" customFormat="1" ht="13.5" customHeight="1" hidden="1" thickBot="1">
      <c r="A91" s="383"/>
      <c r="B91" s="386"/>
      <c r="C91" s="39" t="s">
        <v>1</v>
      </c>
      <c r="D91" s="86"/>
      <c r="E91" s="86"/>
      <c r="F91" s="86">
        <f t="shared" si="1"/>
        <v>0</v>
      </c>
    </row>
    <row r="92" spans="1:6" s="3" customFormat="1" ht="13.5" customHeight="1" hidden="1" thickBot="1">
      <c r="A92" s="383"/>
      <c r="B92" s="386"/>
      <c r="C92" s="39" t="s">
        <v>2</v>
      </c>
      <c r="D92" s="86"/>
      <c r="E92" s="86"/>
      <c r="F92" s="86">
        <f t="shared" si="1"/>
        <v>0</v>
      </c>
    </row>
    <row r="93" spans="1:6" s="3" customFormat="1" ht="13.5" customHeight="1" hidden="1" thickBot="1">
      <c r="A93" s="383"/>
      <c r="B93" s="386"/>
      <c r="C93" s="39" t="s">
        <v>4</v>
      </c>
      <c r="D93" s="86"/>
      <c r="E93" s="86"/>
      <c r="F93" s="86">
        <f t="shared" si="1"/>
        <v>0</v>
      </c>
    </row>
    <row r="94" spans="1:6" s="3" customFormat="1" ht="13.5" customHeight="1" hidden="1" thickBot="1">
      <c r="A94" s="383"/>
      <c r="B94" s="386"/>
      <c r="C94" s="39" t="s">
        <v>3</v>
      </c>
      <c r="D94" s="110"/>
      <c r="E94" s="110"/>
      <c r="F94" s="86">
        <f t="shared" si="1"/>
        <v>0</v>
      </c>
    </row>
    <row r="95" spans="1:6" s="3" customFormat="1" ht="13.5" customHeight="1" hidden="1" thickBot="1">
      <c r="A95" s="383"/>
      <c r="B95" s="386"/>
      <c r="C95" s="242" t="s">
        <v>160</v>
      </c>
      <c r="D95" s="110"/>
      <c r="E95" s="110"/>
      <c r="F95" s="86">
        <f t="shared" si="1"/>
        <v>0</v>
      </c>
    </row>
    <row r="96" spans="1:6" s="3" customFormat="1" ht="13.5" customHeight="1" hidden="1" thickBot="1">
      <c r="A96" s="383"/>
      <c r="B96" s="386" t="s">
        <v>19</v>
      </c>
      <c r="C96" s="243" t="s">
        <v>156</v>
      </c>
      <c r="D96" s="86"/>
      <c r="E96" s="86"/>
      <c r="F96" s="86">
        <f t="shared" si="1"/>
        <v>0</v>
      </c>
    </row>
    <row r="97" spans="1:6" s="3" customFormat="1" ht="13.5" customHeight="1" hidden="1" thickBot="1">
      <c r="A97" s="383"/>
      <c r="B97" s="386"/>
      <c r="C97" s="39" t="s">
        <v>1</v>
      </c>
      <c r="D97" s="86"/>
      <c r="E97" s="86"/>
      <c r="F97" s="86">
        <f t="shared" si="1"/>
        <v>0</v>
      </c>
    </row>
    <row r="98" spans="1:6" s="3" customFormat="1" ht="13.5" customHeight="1" hidden="1" thickBot="1">
      <c r="A98" s="383"/>
      <c r="B98" s="386"/>
      <c r="C98" s="39" t="s">
        <v>2</v>
      </c>
      <c r="D98" s="86"/>
      <c r="E98" s="86"/>
      <c r="F98" s="86">
        <f t="shared" si="1"/>
        <v>0</v>
      </c>
    </row>
    <row r="99" spans="1:6" s="3" customFormat="1" ht="13.5" customHeight="1" hidden="1" thickBot="1">
      <c r="A99" s="383"/>
      <c r="B99" s="386"/>
      <c r="C99" s="39" t="s">
        <v>4</v>
      </c>
      <c r="D99" s="86"/>
      <c r="E99" s="86"/>
      <c r="F99" s="86">
        <f t="shared" si="1"/>
        <v>0</v>
      </c>
    </row>
    <row r="100" spans="1:6" s="3" customFormat="1" ht="13.5" customHeight="1" hidden="1" thickBot="1">
      <c r="A100" s="383"/>
      <c r="B100" s="386"/>
      <c r="C100" s="39" t="s">
        <v>3</v>
      </c>
      <c r="D100" s="110"/>
      <c r="E100" s="110"/>
      <c r="F100" s="86">
        <f t="shared" si="1"/>
        <v>0</v>
      </c>
    </row>
    <row r="101" spans="1:6" s="3" customFormat="1" ht="13.5" customHeight="1" hidden="1" thickBot="1">
      <c r="A101" s="383"/>
      <c r="B101" s="397"/>
      <c r="C101" s="244" t="s">
        <v>160</v>
      </c>
      <c r="D101" s="114"/>
      <c r="E101" s="114"/>
      <c r="F101" s="89">
        <f t="shared" si="1"/>
        <v>0</v>
      </c>
    </row>
    <row r="102" spans="1:6" s="24" customFormat="1" ht="13.5" customHeight="1">
      <c r="A102" s="383"/>
      <c r="B102" s="385" t="s">
        <v>16</v>
      </c>
      <c r="C102" s="51" t="s">
        <v>175</v>
      </c>
      <c r="D102" s="214">
        <v>34755.37</v>
      </c>
      <c r="E102" s="214">
        <v>15527.78</v>
      </c>
      <c r="F102" s="106">
        <f t="shared" si="1"/>
        <v>50283.15</v>
      </c>
    </row>
    <row r="103" spans="1:6" s="24" customFormat="1" ht="12.75">
      <c r="A103" s="383"/>
      <c r="B103" s="386"/>
      <c r="C103" s="39" t="s">
        <v>1</v>
      </c>
      <c r="D103" s="173">
        <v>158507.52</v>
      </c>
      <c r="E103" s="173">
        <v>142146.9</v>
      </c>
      <c r="F103" s="86">
        <f t="shared" si="1"/>
        <v>300654.42</v>
      </c>
    </row>
    <row r="104" spans="1:6" s="24" customFormat="1" ht="12.75">
      <c r="A104" s="383"/>
      <c r="B104" s="386"/>
      <c r="C104" s="39" t="s">
        <v>2</v>
      </c>
      <c r="D104" s="173">
        <v>154726.92</v>
      </c>
      <c r="E104" s="173">
        <v>135029.12</v>
      </c>
      <c r="F104" s="86">
        <f t="shared" si="1"/>
        <v>289756.04000000004</v>
      </c>
    </row>
    <row r="105" spans="1:6" s="24" customFormat="1" ht="12.75">
      <c r="A105" s="383"/>
      <c r="B105" s="386"/>
      <c r="C105" s="39" t="s">
        <v>4</v>
      </c>
      <c r="D105" s="173">
        <f>+D103</f>
        <v>158507.52</v>
      </c>
      <c r="E105" s="173">
        <f>+E103</f>
        <v>142146.9</v>
      </c>
      <c r="F105" s="86">
        <f t="shared" si="1"/>
        <v>300654.42</v>
      </c>
    </row>
    <row r="106" spans="1:6" s="24" customFormat="1" ht="12.75">
      <c r="A106" s="383"/>
      <c r="B106" s="386"/>
      <c r="C106" s="39" t="s">
        <v>3</v>
      </c>
      <c r="D106" s="173">
        <f>D105+D102</f>
        <v>193262.88999999998</v>
      </c>
      <c r="E106" s="173">
        <f>E105+E102</f>
        <v>157674.68</v>
      </c>
      <c r="F106" s="86">
        <f t="shared" si="1"/>
        <v>350937.56999999995</v>
      </c>
    </row>
    <row r="107" spans="1:6" s="3" customFormat="1" ht="13.5" thickBot="1">
      <c r="A107" s="407"/>
      <c r="B107" s="387"/>
      <c r="C107" s="40" t="s">
        <v>199</v>
      </c>
      <c r="D107" s="75">
        <f>D102+D103-D104</f>
        <v>38535.96999999997</v>
      </c>
      <c r="E107" s="75">
        <f>E102+E103-E104</f>
        <v>22645.559999999998</v>
      </c>
      <c r="F107" s="78">
        <f t="shared" si="1"/>
        <v>61181.52999999997</v>
      </c>
    </row>
    <row r="108" spans="1:6" ht="13.5" customHeight="1" thickBot="1">
      <c r="A108" s="398" t="s">
        <v>188</v>
      </c>
      <c r="B108" s="399"/>
      <c r="C108" s="400"/>
      <c r="D108" s="121"/>
      <c r="E108" s="121"/>
      <c r="F108" s="169"/>
    </row>
    <row r="109" spans="1:6" ht="12.75" customHeight="1">
      <c r="A109" s="377"/>
      <c r="B109" s="377"/>
      <c r="C109" s="245" t="s">
        <v>175</v>
      </c>
      <c r="D109" s="122">
        <f aca="true" t="shared" si="2" ref="D109:F114">D6+D12+D18+D36+D42+D48+D54+D72+D78+D102</f>
        <v>982544.1799999999</v>
      </c>
      <c r="E109" s="122">
        <f t="shared" si="2"/>
        <v>1515058.76</v>
      </c>
      <c r="F109" s="122">
        <f t="shared" si="2"/>
        <v>2497602.94</v>
      </c>
    </row>
    <row r="110" spans="1:6" ht="12.75">
      <c r="A110" s="377"/>
      <c r="B110" s="377"/>
      <c r="C110" s="246" t="s">
        <v>1</v>
      </c>
      <c r="D110" s="122">
        <f t="shared" si="2"/>
        <v>3010705.43</v>
      </c>
      <c r="E110" s="122">
        <f t="shared" si="2"/>
        <v>4289499.11</v>
      </c>
      <c r="F110" s="122">
        <f t="shared" si="2"/>
        <v>7300204.540000001</v>
      </c>
    </row>
    <row r="111" spans="1:6" ht="12.75">
      <c r="A111" s="377"/>
      <c r="B111" s="377"/>
      <c r="C111" s="246" t="s">
        <v>2</v>
      </c>
      <c r="D111" s="122">
        <f t="shared" si="2"/>
        <v>3989680.9999999995</v>
      </c>
      <c r="E111" s="122">
        <f t="shared" si="2"/>
        <v>3495547.5</v>
      </c>
      <c r="F111" s="122">
        <f t="shared" si="2"/>
        <v>7485228.5</v>
      </c>
    </row>
    <row r="112" spans="1:6" ht="12.75">
      <c r="A112" s="377"/>
      <c r="B112" s="377"/>
      <c r="C112" s="246" t="s">
        <v>4</v>
      </c>
      <c r="D112" s="122">
        <f t="shared" si="2"/>
        <v>3010705.43</v>
      </c>
      <c r="E112" s="122">
        <f t="shared" si="2"/>
        <v>4289499.11</v>
      </c>
      <c r="F112" s="122">
        <f t="shared" si="2"/>
        <v>7300204.540000001</v>
      </c>
    </row>
    <row r="113" spans="1:6" ht="12.75">
      <c r="A113" s="377"/>
      <c r="B113" s="377"/>
      <c r="C113" s="246" t="s">
        <v>3</v>
      </c>
      <c r="D113" s="122">
        <f t="shared" si="2"/>
        <v>4060063.14</v>
      </c>
      <c r="E113" s="122">
        <f t="shared" si="2"/>
        <v>3524654.89</v>
      </c>
      <c r="F113" s="122">
        <f t="shared" si="2"/>
        <v>7584718.03</v>
      </c>
    </row>
    <row r="114" spans="1:6" s="4" customFormat="1" ht="13.5" thickBot="1">
      <c r="A114" s="378"/>
      <c r="B114" s="378"/>
      <c r="C114" s="247" t="s">
        <v>199</v>
      </c>
      <c r="D114" s="170">
        <f t="shared" si="2"/>
        <v>3568.610000000146</v>
      </c>
      <c r="E114" s="170">
        <f t="shared" si="2"/>
        <v>2309010.3700000006</v>
      </c>
      <c r="F114" s="170">
        <f t="shared" si="2"/>
        <v>2312578.98</v>
      </c>
    </row>
    <row r="115" spans="1:6" s="4" customFormat="1" ht="13.5" customHeight="1">
      <c r="A115" s="408" t="s">
        <v>176</v>
      </c>
      <c r="B115" s="385" t="s">
        <v>43</v>
      </c>
      <c r="C115" s="51" t="s">
        <v>175</v>
      </c>
      <c r="D115" s="214">
        <v>147882.23</v>
      </c>
      <c r="E115" s="214">
        <v>68471.62</v>
      </c>
      <c r="F115" s="106">
        <f aca="true" t="shared" si="3" ref="F115:F146">SUM(D115:E115)</f>
        <v>216353.85</v>
      </c>
    </row>
    <row r="116" spans="1:6" s="4" customFormat="1" ht="12.75">
      <c r="A116" s="409"/>
      <c r="B116" s="386"/>
      <c r="C116" s="39" t="s">
        <v>1</v>
      </c>
      <c r="D116" s="173">
        <v>683244.96</v>
      </c>
      <c r="E116" s="173">
        <v>629139.31</v>
      </c>
      <c r="F116" s="86">
        <f t="shared" si="3"/>
        <v>1312384.27</v>
      </c>
    </row>
    <row r="117" spans="1:6" s="4" customFormat="1" ht="12.75">
      <c r="A117" s="409"/>
      <c r="B117" s="386"/>
      <c r="C117" s="39" t="s">
        <v>2</v>
      </c>
      <c r="D117" s="173">
        <v>666408.18</v>
      </c>
      <c r="E117" s="173">
        <v>597378.22</v>
      </c>
      <c r="F117" s="86">
        <f t="shared" si="3"/>
        <v>1263786.4</v>
      </c>
    </row>
    <row r="118" spans="1:6" s="4" customFormat="1" ht="12.75">
      <c r="A118" s="409"/>
      <c r="B118" s="386"/>
      <c r="C118" s="39" t="s">
        <v>4</v>
      </c>
      <c r="D118" s="219">
        <v>307247.36</v>
      </c>
      <c r="E118" s="219">
        <v>349196.54</v>
      </c>
      <c r="F118" s="208">
        <f t="shared" si="3"/>
        <v>656443.8999999999</v>
      </c>
    </row>
    <row r="119" spans="1:6" s="4" customFormat="1" ht="12.75">
      <c r="A119" s="409"/>
      <c r="B119" s="386"/>
      <c r="C119" s="39" t="s">
        <v>3</v>
      </c>
      <c r="D119" s="173">
        <f>D118+D115</f>
        <v>455129.58999999997</v>
      </c>
      <c r="E119" s="173">
        <v>456745.83</v>
      </c>
      <c r="F119" s="86">
        <f t="shared" si="3"/>
        <v>911875.4199999999</v>
      </c>
    </row>
    <row r="120" spans="1:6" s="3" customFormat="1" ht="13.5" thickBot="1">
      <c r="A120" s="409"/>
      <c r="B120" s="387"/>
      <c r="C120" s="40" t="s">
        <v>199</v>
      </c>
      <c r="D120" s="75">
        <f>D115+D116-D117</f>
        <v>164719.0099999999</v>
      </c>
      <c r="E120" s="75">
        <f>E115+E116-E117</f>
        <v>100232.71000000008</v>
      </c>
      <c r="F120" s="78">
        <f t="shared" si="3"/>
        <v>264951.72</v>
      </c>
    </row>
    <row r="121" spans="1:6" s="4" customFormat="1" ht="12.75">
      <c r="A121" s="409"/>
      <c r="B121" s="385" t="s">
        <v>18</v>
      </c>
      <c r="C121" s="51" t="s">
        <v>175</v>
      </c>
      <c r="D121" s="214">
        <v>31289.04</v>
      </c>
      <c r="E121" s="214">
        <v>14178.96</v>
      </c>
      <c r="F121" s="106">
        <f t="shared" si="3"/>
        <v>45468</v>
      </c>
    </row>
    <row r="122" spans="1:6" s="4" customFormat="1" ht="12.75">
      <c r="A122" s="409"/>
      <c r="B122" s="386"/>
      <c r="C122" s="39" t="s">
        <v>1</v>
      </c>
      <c r="D122" s="173">
        <v>144775.8</v>
      </c>
      <c r="E122" s="173">
        <v>129830.13</v>
      </c>
      <c r="F122" s="86">
        <f t="shared" si="3"/>
        <v>274605.93</v>
      </c>
    </row>
    <row r="123" spans="1:6" s="4" customFormat="1" ht="12.75">
      <c r="A123" s="409"/>
      <c r="B123" s="386"/>
      <c r="C123" s="39" t="s">
        <v>2</v>
      </c>
      <c r="D123" s="173">
        <v>141253.44</v>
      </c>
      <c r="E123" s="173">
        <v>123329.03</v>
      </c>
      <c r="F123" s="86">
        <f t="shared" si="3"/>
        <v>264582.47</v>
      </c>
    </row>
    <row r="124" spans="1:6" s="4" customFormat="1" ht="12.75">
      <c r="A124" s="409"/>
      <c r="B124" s="386"/>
      <c r="C124" s="39" t="s">
        <v>4</v>
      </c>
      <c r="D124" s="173">
        <f>+D122</f>
        <v>144775.8</v>
      </c>
      <c r="E124" s="173">
        <f>+E122</f>
        <v>129830.13</v>
      </c>
      <c r="F124" s="86">
        <f t="shared" si="3"/>
        <v>274605.93</v>
      </c>
    </row>
    <row r="125" spans="1:6" s="4" customFormat="1" ht="12.75">
      <c r="A125" s="409"/>
      <c r="B125" s="386"/>
      <c r="C125" s="39" t="s">
        <v>3</v>
      </c>
      <c r="D125" s="173">
        <f>D124+D121</f>
        <v>176064.84</v>
      </c>
      <c r="E125" s="173">
        <f>E124+E121</f>
        <v>144009.09</v>
      </c>
      <c r="F125" s="86">
        <f t="shared" si="3"/>
        <v>320073.93</v>
      </c>
    </row>
    <row r="126" spans="1:6" s="3" customFormat="1" ht="13.5" thickBot="1">
      <c r="A126" s="409"/>
      <c r="B126" s="387"/>
      <c r="C126" s="40" t="s">
        <v>199</v>
      </c>
      <c r="D126" s="75">
        <f>D121+D122-D123</f>
        <v>34811.399999999994</v>
      </c>
      <c r="E126" s="75">
        <f>E121+E122-E123</f>
        <v>20680.059999999998</v>
      </c>
      <c r="F126" s="78">
        <f t="shared" si="3"/>
        <v>55491.45999999999</v>
      </c>
    </row>
    <row r="127" spans="1:6" s="4" customFormat="1" ht="12.75">
      <c r="A127" s="409"/>
      <c r="B127" s="385" t="s">
        <v>19</v>
      </c>
      <c r="C127" s="51" t="s">
        <v>175</v>
      </c>
      <c r="D127" s="214">
        <v>4716.26</v>
      </c>
      <c r="E127" s="214">
        <v>16426.54</v>
      </c>
      <c r="F127" s="106">
        <f t="shared" si="3"/>
        <v>21142.800000000003</v>
      </c>
    </row>
    <row r="128" spans="1:6" s="4" customFormat="1" ht="12.75">
      <c r="A128" s="409"/>
      <c r="B128" s="386"/>
      <c r="C128" s="39" t="s">
        <v>1</v>
      </c>
      <c r="D128" s="325">
        <v>0</v>
      </c>
      <c r="E128" s="173">
        <v>150057.04</v>
      </c>
      <c r="F128" s="86">
        <f t="shared" si="3"/>
        <v>150057.04</v>
      </c>
    </row>
    <row r="129" spans="1:6" s="4" customFormat="1" ht="12.75">
      <c r="A129" s="409"/>
      <c r="B129" s="386"/>
      <c r="C129" s="39" t="s">
        <v>2</v>
      </c>
      <c r="D129" s="173">
        <v>964.05</v>
      </c>
      <c r="E129" s="173">
        <v>142528.08</v>
      </c>
      <c r="F129" s="86">
        <f t="shared" si="3"/>
        <v>143492.12999999998</v>
      </c>
    </row>
    <row r="130" spans="1:6" s="4" customFormat="1" ht="12.75">
      <c r="A130" s="409"/>
      <c r="B130" s="386"/>
      <c r="C130" s="39" t="s">
        <v>4</v>
      </c>
      <c r="D130" s="173">
        <f>+D128</f>
        <v>0</v>
      </c>
      <c r="E130" s="173">
        <f>+E128</f>
        <v>150057.04</v>
      </c>
      <c r="F130" s="86">
        <f t="shared" si="3"/>
        <v>150057.04</v>
      </c>
    </row>
    <row r="131" spans="1:6" s="4" customFormat="1" ht="12.75">
      <c r="A131" s="409"/>
      <c r="B131" s="386"/>
      <c r="C131" s="39" t="s">
        <v>3</v>
      </c>
      <c r="D131" s="173">
        <f>+D129</f>
        <v>964.05</v>
      </c>
      <c r="E131" s="173">
        <f>E130+E127</f>
        <v>166483.58000000002</v>
      </c>
      <c r="F131" s="86">
        <f t="shared" si="3"/>
        <v>167447.63</v>
      </c>
    </row>
    <row r="132" spans="1:6" s="3" customFormat="1" ht="13.5" thickBot="1">
      <c r="A132" s="410"/>
      <c r="B132" s="387"/>
      <c r="C132" s="40" t="s">
        <v>199</v>
      </c>
      <c r="D132" s="75">
        <f>D127+D128-D129</f>
        <v>3752.21</v>
      </c>
      <c r="E132" s="75">
        <f>E127+E128-E129</f>
        <v>23955.50000000003</v>
      </c>
      <c r="F132" s="78">
        <f t="shared" si="3"/>
        <v>27707.71000000003</v>
      </c>
    </row>
    <row r="133" spans="1:6" s="4" customFormat="1" ht="13.5" customHeight="1">
      <c r="A133" s="382" t="s">
        <v>142</v>
      </c>
      <c r="B133" s="385" t="s">
        <v>143</v>
      </c>
      <c r="C133" s="51" t="s">
        <v>175</v>
      </c>
      <c r="D133" s="253">
        <v>-229.67</v>
      </c>
      <c r="E133" s="214">
        <v>-78.42</v>
      </c>
      <c r="F133" s="106">
        <f t="shared" si="3"/>
        <v>-308.09</v>
      </c>
    </row>
    <row r="134" spans="1:6" s="4" customFormat="1" ht="12.75">
      <c r="A134" s="383"/>
      <c r="B134" s="386"/>
      <c r="C134" s="39" t="s">
        <v>1</v>
      </c>
      <c r="D134" s="254">
        <v>232.09</v>
      </c>
      <c r="E134" s="325">
        <v>78.42</v>
      </c>
      <c r="F134" s="86">
        <f t="shared" si="3"/>
        <v>310.51</v>
      </c>
    </row>
    <row r="135" spans="1:6" s="4" customFormat="1" ht="12.75">
      <c r="A135" s="383"/>
      <c r="B135" s="386"/>
      <c r="C135" s="39" t="s">
        <v>2</v>
      </c>
      <c r="D135" s="254">
        <v>2.42</v>
      </c>
      <c r="E135" s="325">
        <v>0</v>
      </c>
      <c r="F135" s="86">
        <f t="shared" si="3"/>
        <v>2.42</v>
      </c>
    </row>
    <row r="136" spans="1:6" s="4" customFormat="1" ht="12.75">
      <c r="A136" s="383"/>
      <c r="B136" s="386"/>
      <c r="C136" s="39" t="s">
        <v>4</v>
      </c>
      <c r="D136" s="325">
        <f>D134</f>
        <v>232.09</v>
      </c>
      <c r="E136" s="325">
        <f>E134</f>
        <v>78.42</v>
      </c>
      <c r="F136" s="86">
        <f t="shared" si="3"/>
        <v>310.51</v>
      </c>
    </row>
    <row r="137" spans="1:6" s="4" customFormat="1" ht="12.75">
      <c r="A137" s="383"/>
      <c r="B137" s="386"/>
      <c r="C137" s="39" t="s">
        <v>3</v>
      </c>
      <c r="D137" s="173">
        <f>D135</f>
        <v>2.42</v>
      </c>
      <c r="E137" s="325">
        <f>E135</f>
        <v>0</v>
      </c>
      <c r="F137" s="86">
        <f t="shared" si="3"/>
        <v>2.42</v>
      </c>
    </row>
    <row r="138" spans="1:6" s="3" customFormat="1" ht="13.5" thickBot="1">
      <c r="A138" s="383"/>
      <c r="B138" s="387"/>
      <c r="C138" s="40" t="s">
        <v>199</v>
      </c>
      <c r="D138" s="75">
        <f>D133+D134-D135</f>
        <v>1.5987211554602254E-14</v>
      </c>
      <c r="E138" s="75">
        <f>E133+E134-E135</f>
        <v>0</v>
      </c>
      <c r="F138" s="78">
        <f t="shared" si="3"/>
        <v>1.5987211554602254E-14</v>
      </c>
    </row>
    <row r="139" spans="1:6" s="4" customFormat="1" ht="13.5" customHeight="1">
      <c r="A139" s="383"/>
      <c r="B139" s="385" t="s">
        <v>144</v>
      </c>
      <c r="C139" s="51" t="s">
        <v>175</v>
      </c>
      <c r="D139" s="249">
        <v>1956.95</v>
      </c>
      <c r="E139" s="249">
        <v>900.51</v>
      </c>
      <c r="F139" s="106">
        <f t="shared" si="3"/>
        <v>2857.46</v>
      </c>
    </row>
    <row r="140" spans="1:6" s="4" customFormat="1" ht="12.75">
      <c r="A140" s="383"/>
      <c r="B140" s="386"/>
      <c r="C140" s="39" t="s">
        <v>1</v>
      </c>
      <c r="D140" s="173">
        <v>9155.76</v>
      </c>
      <c r="E140" s="173">
        <v>8210.87</v>
      </c>
      <c r="F140" s="86">
        <f t="shared" si="3"/>
        <v>17366.63</v>
      </c>
    </row>
    <row r="141" spans="1:6" s="4" customFormat="1" ht="12.75">
      <c r="A141" s="383"/>
      <c r="B141" s="386"/>
      <c r="C141" s="39" t="s">
        <v>2</v>
      </c>
      <c r="D141" s="173">
        <v>8933.37</v>
      </c>
      <c r="E141" s="173">
        <v>7799.81</v>
      </c>
      <c r="F141" s="86">
        <f t="shared" si="3"/>
        <v>16733.18</v>
      </c>
    </row>
    <row r="142" spans="1:6" s="4" customFormat="1" ht="12.75">
      <c r="A142" s="383"/>
      <c r="B142" s="386"/>
      <c r="C142" s="39" t="s">
        <v>4</v>
      </c>
      <c r="D142" s="173">
        <f>+D140</f>
        <v>9155.76</v>
      </c>
      <c r="E142" s="173">
        <f>+E140</f>
        <v>8210.87</v>
      </c>
      <c r="F142" s="86">
        <f t="shared" si="3"/>
        <v>17366.63</v>
      </c>
    </row>
    <row r="143" spans="1:6" s="4" customFormat="1" ht="12.75">
      <c r="A143" s="383"/>
      <c r="B143" s="386"/>
      <c r="C143" s="39" t="s">
        <v>3</v>
      </c>
      <c r="D143" s="173">
        <f>+D141</f>
        <v>8933.37</v>
      </c>
      <c r="E143" s="173">
        <f>E142+E139</f>
        <v>9111.380000000001</v>
      </c>
      <c r="F143" s="86">
        <f t="shared" si="3"/>
        <v>18044.75</v>
      </c>
    </row>
    <row r="144" spans="1:6" s="3" customFormat="1" ht="13.5" thickBot="1">
      <c r="A144" s="383"/>
      <c r="B144" s="387"/>
      <c r="C144" s="40" t="s">
        <v>199</v>
      </c>
      <c r="D144" s="75">
        <f>D139+D140-D141</f>
        <v>2179.34</v>
      </c>
      <c r="E144" s="75">
        <f>E139+E140-E141</f>
        <v>1311.5700000000006</v>
      </c>
      <c r="F144" s="78">
        <f t="shared" si="3"/>
        <v>3490.9100000000008</v>
      </c>
    </row>
    <row r="145" spans="1:6" s="4" customFormat="1" ht="13.5" customHeight="1">
      <c r="A145" s="383"/>
      <c r="B145" s="385" t="s">
        <v>145</v>
      </c>
      <c r="C145" s="51" t="s">
        <v>175</v>
      </c>
      <c r="D145" s="249">
        <v>5735.9</v>
      </c>
      <c r="E145" s="249">
        <v>2644</v>
      </c>
      <c r="F145" s="106">
        <f t="shared" si="3"/>
        <v>8379.9</v>
      </c>
    </row>
    <row r="146" spans="1:6" s="4" customFormat="1" ht="12.75">
      <c r="A146" s="383"/>
      <c r="B146" s="386"/>
      <c r="C146" s="39" t="s">
        <v>1</v>
      </c>
      <c r="D146" s="252">
        <v>26661.71</v>
      </c>
      <c r="E146" s="252">
        <v>24040.76</v>
      </c>
      <c r="F146" s="86">
        <f t="shared" si="3"/>
        <v>50702.47</v>
      </c>
    </row>
    <row r="147" spans="1:6" s="4" customFormat="1" ht="12.75">
      <c r="A147" s="383"/>
      <c r="B147" s="386"/>
      <c r="C147" s="39" t="s">
        <v>2</v>
      </c>
      <c r="D147" s="252">
        <v>26226.77</v>
      </c>
      <c r="E147" s="252">
        <v>22833.36</v>
      </c>
      <c r="F147" s="86">
        <f aca="true" t="shared" si="4" ref="F147:F178">SUM(D147:E147)</f>
        <v>49060.130000000005</v>
      </c>
    </row>
    <row r="148" spans="1:6" s="4" customFormat="1" ht="15" customHeight="1">
      <c r="A148" s="383"/>
      <c r="B148" s="386"/>
      <c r="C148" s="39" t="s">
        <v>4</v>
      </c>
      <c r="D148" s="173">
        <f>+D146</f>
        <v>26661.71</v>
      </c>
      <c r="E148" s="173">
        <f>+E146</f>
        <v>24040.76</v>
      </c>
      <c r="F148" s="86">
        <f t="shared" si="4"/>
        <v>50702.47</v>
      </c>
    </row>
    <row r="149" spans="1:6" s="4" customFormat="1" ht="12.75">
      <c r="A149" s="383"/>
      <c r="B149" s="386"/>
      <c r="C149" s="39" t="s">
        <v>3</v>
      </c>
      <c r="D149" s="173">
        <f>+D147</f>
        <v>26226.77</v>
      </c>
      <c r="E149" s="173">
        <f>E148+E145</f>
        <v>26684.76</v>
      </c>
      <c r="F149" s="86">
        <f t="shared" si="4"/>
        <v>52911.53</v>
      </c>
    </row>
    <row r="150" spans="1:6" s="4" customFormat="1" ht="13.5" thickBot="1">
      <c r="A150" s="383"/>
      <c r="B150" s="387"/>
      <c r="C150" s="40" t="s">
        <v>199</v>
      </c>
      <c r="D150" s="75">
        <f>D145+D146-D147</f>
        <v>6170.84</v>
      </c>
      <c r="E150" s="75">
        <f>E145+E146-E147</f>
        <v>3851.399999999998</v>
      </c>
      <c r="F150" s="78">
        <f t="shared" si="4"/>
        <v>10022.239999999998</v>
      </c>
    </row>
    <row r="151" spans="1:6" s="4" customFormat="1" ht="15" customHeight="1">
      <c r="A151" s="383"/>
      <c r="B151" s="385" t="s">
        <v>146</v>
      </c>
      <c r="C151" s="51" t="s">
        <v>175</v>
      </c>
      <c r="D151" s="249">
        <v>1956.95</v>
      </c>
      <c r="E151" s="249">
        <v>900.52</v>
      </c>
      <c r="F151" s="106">
        <f t="shared" si="4"/>
        <v>2857.4700000000003</v>
      </c>
    </row>
    <row r="152" spans="1:6" s="4" customFormat="1" ht="13.5" customHeight="1">
      <c r="A152" s="383"/>
      <c r="B152" s="386"/>
      <c r="C152" s="39" t="s">
        <v>1</v>
      </c>
      <c r="D152" s="173">
        <v>9155.76</v>
      </c>
      <c r="E152" s="173">
        <v>8210.87</v>
      </c>
      <c r="F152" s="86">
        <f t="shared" si="4"/>
        <v>17366.63</v>
      </c>
    </row>
    <row r="153" spans="1:6" s="4" customFormat="1" ht="12.75">
      <c r="A153" s="383"/>
      <c r="B153" s="386"/>
      <c r="C153" s="39" t="s">
        <v>2</v>
      </c>
      <c r="D153" s="173">
        <v>8933.37</v>
      </c>
      <c r="E153" s="173">
        <v>7799.81</v>
      </c>
      <c r="F153" s="86">
        <f t="shared" si="4"/>
        <v>16733.18</v>
      </c>
    </row>
    <row r="154" spans="1:6" s="4" customFormat="1" ht="12.75">
      <c r="A154" s="383"/>
      <c r="B154" s="386"/>
      <c r="C154" s="39" t="s">
        <v>4</v>
      </c>
      <c r="D154" s="173">
        <f>+D152</f>
        <v>9155.76</v>
      </c>
      <c r="E154" s="173">
        <f>+E152</f>
        <v>8210.87</v>
      </c>
      <c r="F154" s="86">
        <f t="shared" si="4"/>
        <v>17366.63</v>
      </c>
    </row>
    <row r="155" spans="1:6" s="4" customFormat="1" ht="12.75">
      <c r="A155" s="383"/>
      <c r="B155" s="386"/>
      <c r="C155" s="39" t="s">
        <v>3</v>
      </c>
      <c r="D155" s="173">
        <f>+D153</f>
        <v>8933.37</v>
      </c>
      <c r="E155" s="173">
        <f>E154+E151</f>
        <v>9111.390000000001</v>
      </c>
      <c r="F155" s="86">
        <f t="shared" si="4"/>
        <v>18044.760000000002</v>
      </c>
    </row>
    <row r="156" spans="1:6" s="3" customFormat="1" ht="13.5" thickBot="1">
      <c r="A156" s="383"/>
      <c r="B156" s="387"/>
      <c r="C156" s="40" t="s">
        <v>199</v>
      </c>
      <c r="D156" s="75">
        <f>D151+D152-D153</f>
        <v>2179.34</v>
      </c>
      <c r="E156" s="75">
        <f>E151+E152-E153</f>
        <v>1311.5800000000008</v>
      </c>
      <c r="F156" s="78">
        <f t="shared" si="4"/>
        <v>3490.920000000001</v>
      </c>
    </row>
    <row r="157" spans="1:6" s="24" customFormat="1" ht="12.75" customHeight="1" hidden="1" thickBot="1">
      <c r="A157" s="383"/>
      <c r="B157" s="388" t="s">
        <v>40</v>
      </c>
      <c r="C157" s="213" t="s">
        <v>156</v>
      </c>
      <c r="D157" s="250"/>
      <c r="E157" s="250"/>
      <c r="F157" s="90">
        <f t="shared" si="4"/>
        <v>0</v>
      </c>
    </row>
    <row r="158" spans="1:6" s="24" customFormat="1" ht="13.5" customHeight="1" hidden="1" thickBot="1">
      <c r="A158" s="383"/>
      <c r="B158" s="381"/>
      <c r="C158" s="39" t="s">
        <v>1</v>
      </c>
      <c r="D158" s="112"/>
      <c r="E158" s="112"/>
      <c r="F158" s="86">
        <f t="shared" si="4"/>
        <v>0</v>
      </c>
    </row>
    <row r="159" spans="1:6" s="24" customFormat="1" ht="13.5" customHeight="1" hidden="1" thickBot="1">
      <c r="A159" s="383"/>
      <c r="B159" s="381"/>
      <c r="C159" s="39" t="s">
        <v>2</v>
      </c>
      <c r="D159" s="112"/>
      <c r="E159" s="112"/>
      <c r="F159" s="86">
        <f t="shared" si="4"/>
        <v>0</v>
      </c>
    </row>
    <row r="160" spans="1:6" s="24" customFormat="1" ht="13.5" customHeight="1" hidden="1" thickBot="1">
      <c r="A160" s="383"/>
      <c r="B160" s="381"/>
      <c r="C160" s="39" t="s">
        <v>4</v>
      </c>
      <c r="D160" s="112"/>
      <c r="E160" s="112"/>
      <c r="F160" s="86">
        <f t="shared" si="4"/>
        <v>0</v>
      </c>
    </row>
    <row r="161" spans="1:6" s="24" customFormat="1" ht="13.5" customHeight="1" hidden="1" thickBot="1">
      <c r="A161" s="383"/>
      <c r="B161" s="381"/>
      <c r="C161" s="39" t="s">
        <v>3</v>
      </c>
      <c r="D161" s="112"/>
      <c r="E161" s="112"/>
      <c r="F161" s="86">
        <f t="shared" si="4"/>
        <v>0</v>
      </c>
    </row>
    <row r="162" spans="1:6" s="3" customFormat="1" ht="13.5" customHeight="1" hidden="1" thickBot="1">
      <c r="A162" s="383"/>
      <c r="B162" s="381"/>
      <c r="C162" s="242" t="s">
        <v>160</v>
      </c>
      <c r="D162" s="110"/>
      <c r="E162" s="110"/>
      <c r="F162" s="86">
        <f t="shared" si="4"/>
        <v>0</v>
      </c>
    </row>
    <row r="163" spans="1:6" s="24" customFormat="1" ht="13.5" customHeight="1" hidden="1" thickBot="1">
      <c r="A163" s="383"/>
      <c r="B163" s="381" t="s">
        <v>18</v>
      </c>
      <c r="C163" s="243" t="s">
        <v>156</v>
      </c>
      <c r="D163" s="112"/>
      <c r="E163" s="112"/>
      <c r="F163" s="86">
        <f t="shared" si="4"/>
        <v>0</v>
      </c>
    </row>
    <row r="164" spans="1:6" s="24" customFormat="1" ht="13.5" customHeight="1" hidden="1" thickBot="1">
      <c r="A164" s="383"/>
      <c r="B164" s="381"/>
      <c r="C164" s="39" t="s">
        <v>1</v>
      </c>
      <c r="D164" s="112"/>
      <c r="E164" s="112"/>
      <c r="F164" s="86">
        <f t="shared" si="4"/>
        <v>0</v>
      </c>
    </row>
    <row r="165" spans="1:6" s="24" customFormat="1" ht="13.5" customHeight="1" hidden="1" thickBot="1">
      <c r="A165" s="383"/>
      <c r="B165" s="381"/>
      <c r="C165" s="39" t="s">
        <v>2</v>
      </c>
      <c r="D165" s="112"/>
      <c r="E165" s="112"/>
      <c r="F165" s="86">
        <f t="shared" si="4"/>
        <v>0</v>
      </c>
    </row>
    <row r="166" spans="1:6" s="24" customFormat="1" ht="13.5" customHeight="1" hidden="1" thickBot="1">
      <c r="A166" s="383"/>
      <c r="B166" s="381"/>
      <c r="C166" s="39" t="s">
        <v>4</v>
      </c>
      <c r="D166" s="112"/>
      <c r="E166" s="112"/>
      <c r="F166" s="86">
        <f t="shared" si="4"/>
        <v>0</v>
      </c>
    </row>
    <row r="167" spans="1:6" s="24" customFormat="1" ht="13.5" customHeight="1" hidden="1" thickBot="1">
      <c r="A167" s="383"/>
      <c r="B167" s="381"/>
      <c r="C167" s="39" t="s">
        <v>3</v>
      </c>
      <c r="D167" s="112"/>
      <c r="E167" s="112"/>
      <c r="F167" s="86">
        <f t="shared" si="4"/>
        <v>0</v>
      </c>
    </row>
    <row r="168" spans="1:6" s="3" customFormat="1" ht="13.5" customHeight="1" hidden="1" thickBot="1">
      <c r="A168" s="383"/>
      <c r="B168" s="381"/>
      <c r="C168" s="242" t="s">
        <v>160</v>
      </c>
      <c r="D168" s="110"/>
      <c r="E168" s="110"/>
      <c r="F168" s="86">
        <f t="shared" si="4"/>
        <v>0</v>
      </c>
    </row>
    <row r="169" spans="1:6" s="24" customFormat="1" ht="13.5" customHeight="1" hidden="1" thickBot="1">
      <c r="A169" s="383"/>
      <c r="B169" s="381" t="s">
        <v>19</v>
      </c>
      <c r="C169" s="243" t="s">
        <v>156</v>
      </c>
      <c r="D169" s="112"/>
      <c r="E169" s="112"/>
      <c r="F169" s="86">
        <f t="shared" si="4"/>
        <v>0</v>
      </c>
    </row>
    <row r="170" spans="1:6" s="24" customFormat="1" ht="13.5" customHeight="1" hidden="1" thickBot="1">
      <c r="A170" s="383"/>
      <c r="B170" s="381"/>
      <c r="C170" s="39" t="s">
        <v>1</v>
      </c>
      <c r="D170" s="112"/>
      <c r="E170" s="112"/>
      <c r="F170" s="86">
        <f t="shared" si="4"/>
        <v>0</v>
      </c>
    </row>
    <row r="171" spans="1:6" s="24" customFormat="1" ht="13.5" customHeight="1" hidden="1" thickBot="1">
      <c r="A171" s="383"/>
      <c r="B171" s="381"/>
      <c r="C171" s="39" t="s">
        <v>2</v>
      </c>
      <c r="D171" s="112"/>
      <c r="E171" s="112"/>
      <c r="F171" s="86">
        <f t="shared" si="4"/>
        <v>0</v>
      </c>
    </row>
    <row r="172" spans="1:6" s="24" customFormat="1" ht="13.5" customHeight="1" hidden="1" thickBot="1">
      <c r="A172" s="383"/>
      <c r="B172" s="381"/>
      <c r="C172" s="39" t="s">
        <v>4</v>
      </c>
      <c r="D172" s="112"/>
      <c r="E172" s="112"/>
      <c r="F172" s="86">
        <f t="shared" si="4"/>
        <v>0</v>
      </c>
    </row>
    <row r="173" spans="1:6" s="24" customFormat="1" ht="13.5" customHeight="1" hidden="1" thickBot="1">
      <c r="A173" s="383"/>
      <c r="B173" s="381"/>
      <c r="C173" s="39" t="s">
        <v>3</v>
      </c>
      <c r="D173" s="112"/>
      <c r="E173" s="112"/>
      <c r="F173" s="86">
        <f t="shared" si="4"/>
        <v>0</v>
      </c>
    </row>
    <row r="174" spans="1:6" s="3" customFormat="1" ht="13.5" customHeight="1" hidden="1" thickBot="1">
      <c r="A174" s="384"/>
      <c r="B174" s="381"/>
      <c r="C174" s="242" t="s">
        <v>160</v>
      </c>
      <c r="D174" s="110"/>
      <c r="E174" s="110"/>
      <c r="F174" s="86">
        <f t="shared" si="4"/>
        <v>0</v>
      </c>
    </row>
    <row r="175" spans="1:6" s="24" customFormat="1" ht="12.75" customHeight="1" hidden="1">
      <c r="A175" s="401" t="s">
        <v>20</v>
      </c>
      <c r="B175" s="375" t="s">
        <v>21</v>
      </c>
      <c r="C175" s="243" t="s">
        <v>156</v>
      </c>
      <c r="D175" s="112"/>
      <c r="E175" s="112"/>
      <c r="F175" s="86">
        <f t="shared" si="4"/>
        <v>0</v>
      </c>
    </row>
    <row r="176" spans="1:6" s="24" customFormat="1" ht="12.75" customHeight="1" hidden="1">
      <c r="A176" s="379"/>
      <c r="B176" s="375"/>
      <c r="C176" s="39" t="s">
        <v>1</v>
      </c>
      <c r="D176" s="112"/>
      <c r="E176" s="112"/>
      <c r="F176" s="86">
        <f t="shared" si="4"/>
        <v>0</v>
      </c>
    </row>
    <row r="177" spans="1:6" s="24" customFormat="1" ht="12.75" customHeight="1" hidden="1">
      <c r="A177" s="379"/>
      <c r="B177" s="375"/>
      <c r="C177" s="39" t="s">
        <v>2</v>
      </c>
      <c r="D177" s="112"/>
      <c r="E177" s="112"/>
      <c r="F177" s="86">
        <f t="shared" si="4"/>
        <v>0</v>
      </c>
    </row>
    <row r="178" spans="1:6" s="24" customFormat="1" ht="12.75" customHeight="1" hidden="1">
      <c r="A178" s="379"/>
      <c r="B178" s="375"/>
      <c r="C178" s="39" t="s">
        <v>4</v>
      </c>
      <c r="D178" s="112"/>
      <c r="E178" s="112"/>
      <c r="F178" s="86">
        <f t="shared" si="4"/>
        <v>0</v>
      </c>
    </row>
    <row r="179" spans="1:6" s="24" customFormat="1" ht="12.75" customHeight="1" hidden="1">
      <c r="A179" s="379"/>
      <c r="B179" s="375"/>
      <c r="C179" s="39" t="s">
        <v>3</v>
      </c>
      <c r="D179" s="112"/>
      <c r="E179" s="112"/>
      <c r="F179" s="86">
        <f aca="true" t="shared" si="5" ref="F179:F204">SUM(D179:E179)</f>
        <v>0</v>
      </c>
    </row>
    <row r="180" spans="1:6" s="3" customFormat="1" ht="12.75" customHeight="1" hidden="1">
      <c r="A180" s="379"/>
      <c r="B180" s="375"/>
      <c r="C180" s="242" t="s">
        <v>160</v>
      </c>
      <c r="D180" s="110"/>
      <c r="E180" s="110"/>
      <c r="F180" s="86">
        <f t="shared" si="5"/>
        <v>0</v>
      </c>
    </row>
    <row r="181" spans="1:6" s="24" customFormat="1" ht="12.75" customHeight="1" hidden="1" thickBot="1">
      <c r="A181" s="379" t="s">
        <v>22</v>
      </c>
      <c r="B181" s="375" t="s">
        <v>21</v>
      </c>
      <c r="C181" s="243" t="s">
        <v>156</v>
      </c>
      <c r="D181" s="112"/>
      <c r="E181" s="112"/>
      <c r="F181" s="86">
        <f t="shared" si="5"/>
        <v>0</v>
      </c>
    </row>
    <row r="182" spans="1:6" s="24" customFormat="1" ht="13.5" customHeight="1" hidden="1" thickBot="1">
      <c r="A182" s="379"/>
      <c r="B182" s="375"/>
      <c r="C182" s="39" t="s">
        <v>1</v>
      </c>
      <c r="D182" s="112"/>
      <c r="E182" s="112"/>
      <c r="F182" s="86">
        <f t="shared" si="5"/>
        <v>0</v>
      </c>
    </row>
    <row r="183" spans="1:6" s="24" customFormat="1" ht="13.5" customHeight="1" hidden="1" thickBot="1">
      <c r="A183" s="379"/>
      <c r="B183" s="375"/>
      <c r="C183" s="39" t="s">
        <v>2</v>
      </c>
      <c r="D183" s="112"/>
      <c r="E183" s="112"/>
      <c r="F183" s="86">
        <f t="shared" si="5"/>
        <v>0</v>
      </c>
    </row>
    <row r="184" spans="1:6" s="24" customFormat="1" ht="13.5" customHeight="1" hidden="1" thickBot="1">
      <c r="A184" s="379"/>
      <c r="B184" s="375"/>
      <c r="C184" s="39" t="s">
        <v>4</v>
      </c>
      <c r="D184" s="112"/>
      <c r="E184" s="112"/>
      <c r="F184" s="86">
        <f t="shared" si="5"/>
        <v>0</v>
      </c>
    </row>
    <row r="185" spans="1:6" s="24" customFormat="1" ht="13.5" customHeight="1" hidden="1" thickBot="1">
      <c r="A185" s="379"/>
      <c r="B185" s="375"/>
      <c r="C185" s="39" t="s">
        <v>3</v>
      </c>
      <c r="D185" s="112"/>
      <c r="E185" s="112"/>
      <c r="F185" s="86">
        <f t="shared" si="5"/>
        <v>0</v>
      </c>
    </row>
    <row r="186" spans="1:6" s="3" customFormat="1" ht="13.5" customHeight="1" hidden="1" thickBot="1">
      <c r="A186" s="380"/>
      <c r="B186" s="403"/>
      <c r="C186" s="244" t="s">
        <v>160</v>
      </c>
      <c r="D186" s="114"/>
      <c r="E186" s="114"/>
      <c r="F186" s="89">
        <f t="shared" si="5"/>
        <v>0</v>
      </c>
    </row>
    <row r="187" spans="1:7" s="24" customFormat="1" ht="13.5" customHeight="1">
      <c r="A187" s="382" t="s">
        <v>20</v>
      </c>
      <c r="B187" s="385" t="s">
        <v>21</v>
      </c>
      <c r="C187" s="51" t="s">
        <v>175</v>
      </c>
      <c r="D187" s="214">
        <v>23833.93</v>
      </c>
      <c r="E187" s="214">
        <v>10384.84</v>
      </c>
      <c r="F187" s="106">
        <f t="shared" si="5"/>
        <v>34218.770000000004</v>
      </c>
      <c r="G187" s="60"/>
    </row>
    <row r="188" spans="1:8" s="24" customFormat="1" ht="12.75">
      <c r="A188" s="383"/>
      <c r="B188" s="386"/>
      <c r="C188" s="39" t="s">
        <v>1</v>
      </c>
      <c r="D188" s="173">
        <v>107579.64</v>
      </c>
      <c r="E188" s="173">
        <v>95448.75</v>
      </c>
      <c r="F188" s="86">
        <f t="shared" si="5"/>
        <v>203028.39</v>
      </c>
      <c r="H188" s="26"/>
    </row>
    <row r="189" spans="1:6" s="24" customFormat="1" ht="12.75">
      <c r="A189" s="383"/>
      <c r="B189" s="386"/>
      <c r="C189" s="39" t="s">
        <v>2</v>
      </c>
      <c r="D189" s="173">
        <v>104962.61</v>
      </c>
      <c r="E189" s="173">
        <v>90630.23</v>
      </c>
      <c r="F189" s="86">
        <f t="shared" si="5"/>
        <v>195592.84</v>
      </c>
    </row>
    <row r="190" spans="1:6" s="24" customFormat="1" ht="12.75">
      <c r="A190" s="383"/>
      <c r="B190" s="386"/>
      <c r="C190" s="39" t="s">
        <v>4</v>
      </c>
      <c r="D190" s="219">
        <v>97779.02</v>
      </c>
      <c r="E190" s="219">
        <v>69144.72</v>
      </c>
      <c r="F190" s="208">
        <f t="shared" si="5"/>
        <v>166923.74</v>
      </c>
    </row>
    <row r="191" spans="1:6" s="24" customFormat="1" ht="12.75">
      <c r="A191" s="383"/>
      <c r="B191" s="386"/>
      <c r="C191" s="39" t="s">
        <v>3</v>
      </c>
      <c r="D191" s="173">
        <f>D190+D187</f>
        <v>121612.95000000001</v>
      </c>
      <c r="E191" s="173">
        <f>E189</f>
        <v>90630.23</v>
      </c>
      <c r="F191" s="86">
        <f t="shared" si="5"/>
        <v>212243.18</v>
      </c>
    </row>
    <row r="192" spans="1:6" s="3" customFormat="1" ht="13.5" thickBot="1">
      <c r="A192" s="383"/>
      <c r="B192" s="387"/>
      <c r="C192" s="40" t="s">
        <v>199</v>
      </c>
      <c r="D192" s="75">
        <f>D187+D188-D189</f>
        <v>26450.960000000006</v>
      </c>
      <c r="E192" s="75">
        <f>E187+E188-E189</f>
        <v>15203.36</v>
      </c>
      <c r="F192" s="78">
        <f t="shared" si="5"/>
        <v>41654.32000000001</v>
      </c>
    </row>
    <row r="193" spans="1:6" s="3" customFormat="1" ht="14.25" customHeight="1" hidden="1" thickBot="1">
      <c r="A193" s="383"/>
      <c r="B193" s="388" t="s">
        <v>18</v>
      </c>
      <c r="C193" s="213" t="s">
        <v>156</v>
      </c>
      <c r="D193" s="90"/>
      <c r="E193" s="90"/>
      <c r="F193" s="90">
        <f t="shared" si="5"/>
        <v>0</v>
      </c>
    </row>
    <row r="194" spans="1:6" s="3" customFormat="1" ht="13.5" customHeight="1" hidden="1" thickBot="1">
      <c r="A194" s="383"/>
      <c r="B194" s="381"/>
      <c r="C194" s="39" t="s">
        <v>1</v>
      </c>
      <c r="D194" s="86"/>
      <c r="E194" s="86"/>
      <c r="F194" s="86">
        <f t="shared" si="5"/>
        <v>0</v>
      </c>
    </row>
    <row r="195" spans="1:6" s="3" customFormat="1" ht="13.5" customHeight="1" hidden="1" thickBot="1">
      <c r="A195" s="383"/>
      <c r="B195" s="381"/>
      <c r="C195" s="39" t="s">
        <v>2</v>
      </c>
      <c r="D195" s="86"/>
      <c r="E195" s="86"/>
      <c r="F195" s="86">
        <f t="shared" si="5"/>
        <v>0</v>
      </c>
    </row>
    <row r="196" spans="1:6" s="3" customFormat="1" ht="13.5" customHeight="1" hidden="1" thickBot="1">
      <c r="A196" s="383"/>
      <c r="B196" s="381"/>
      <c r="C196" s="39" t="s">
        <v>4</v>
      </c>
      <c r="D196" s="112"/>
      <c r="E196" s="112"/>
      <c r="F196" s="86">
        <f t="shared" si="5"/>
        <v>0</v>
      </c>
    </row>
    <row r="197" spans="1:6" s="3" customFormat="1" ht="13.5" customHeight="1" hidden="1" thickBot="1">
      <c r="A197" s="383"/>
      <c r="B197" s="381"/>
      <c r="C197" s="39" t="s">
        <v>3</v>
      </c>
      <c r="D197" s="112"/>
      <c r="E197" s="112"/>
      <c r="F197" s="86">
        <f t="shared" si="5"/>
        <v>0</v>
      </c>
    </row>
    <row r="198" spans="1:6" s="3" customFormat="1" ht="13.5" customHeight="1" hidden="1" thickBot="1">
      <c r="A198" s="383"/>
      <c r="B198" s="381"/>
      <c r="C198" s="242" t="s">
        <v>160</v>
      </c>
      <c r="D198" s="110"/>
      <c r="E198" s="110"/>
      <c r="F198" s="86">
        <f t="shared" si="5"/>
        <v>0</v>
      </c>
    </row>
    <row r="199" spans="1:6" s="3" customFormat="1" ht="13.5" customHeight="1" hidden="1" thickBot="1">
      <c r="A199" s="383"/>
      <c r="B199" s="381" t="s">
        <v>40</v>
      </c>
      <c r="C199" s="243" t="s">
        <v>156</v>
      </c>
      <c r="D199" s="86"/>
      <c r="E199" s="86"/>
      <c r="F199" s="86">
        <f t="shared" si="5"/>
        <v>0</v>
      </c>
    </row>
    <row r="200" spans="1:6" s="3" customFormat="1" ht="13.5" customHeight="1" hidden="1" thickBot="1">
      <c r="A200" s="383"/>
      <c r="B200" s="381"/>
      <c r="C200" s="39" t="s">
        <v>1</v>
      </c>
      <c r="D200" s="86"/>
      <c r="E200" s="86"/>
      <c r="F200" s="86">
        <f t="shared" si="5"/>
        <v>0</v>
      </c>
    </row>
    <row r="201" spans="1:6" s="3" customFormat="1" ht="13.5" customHeight="1" hidden="1" thickBot="1">
      <c r="A201" s="383"/>
      <c r="B201" s="381"/>
      <c r="C201" s="39" t="s">
        <v>2</v>
      </c>
      <c r="D201" s="86"/>
      <c r="E201" s="86"/>
      <c r="F201" s="86">
        <f t="shared" si="5"/>
        <v>0</v>
      </c>
    </row>
    <row r="202" spans="1:6" s="3" customFormat="1" ht="13.5" customHeight="1" hidden="1" thickBot="1">
      <c r="A202" s="383"/>
      <c r="B202" s="381"/>
      <c r="C202" s="39" t="s">
        <v>4</v>
      </c>
      <c r="D202" s="112"/>
      <c r="E202" s="112"/>
      <c r="F202" s="86">
        <f t="shared" si="5"/>
        <v>0</v>
      </c>
    </row>
    <row r="203" spans="1:6" s="3" customFormat="1" ht="13.5" customHeight="1" hidden="1" thickBot="1">
      <c r="A203" s="383"/>
      <c r="B203" s="381"/>
      <c r="C203" s="39" t="s">
        <v>3</v>
      </c>
      <c r="D203" s="112"/>
      <c r="E203" s="112"/>
      <c r="F203" s="86">
        <f t="shared" si="5"/>
        <v>0</v>
      </c>
    </row>
    <row r="204" spans="1:6" s="3" customFormat="1" ht="13.5" customHeight="1" hidden="1" thickBot="1">
      <c r="A204" s="383"/>
      <c r="B204" s="381"/>
      <c r="C204" s="242" t="s">
        <v>160</v>
      </c>
      <c r="D204" s="110"/>
      <c r="E204" s="110"/>
      <c r="F204" s="86">
        <f t="shared" si="5"/>
        <v>0</v>
      </c>
    </row>
    <row r="205" spans="1:6" s="3" customFormat="1" ht="13.5" customHeight="1" hidden="1" thickBot="1">
      <c r="A205" s="383"/>
      <c r="B205" s="381" t="s">
        <v>33</v>
      </c>
      <c r="C205" s="243" t="s">
        <v>156</v>
      </c>
      <c r="D205" s="86"/>
      <c r="E205" s="86"/>
      <c r="F205" s="86">
        <f aca="true" t="shared" si="6" ref="F205:F246">SUM(D205:E205)</f>
        <v>0</v>
      </c>
    </row>
    <row r="206" spans="1:6" s="3" customFormat="1" ht="13.5" customHeight="1" hidden="1" thickBot="1">
      <c r="A206" s="383"/>
      <c r="B206" s="381"/>
      <c r="C206" s="39" t="s">
        <v>1</v>
      </c>
      <c r="D206" s="86"/>
      <c r="E206" s="86"/>
      <c r="F206" s="86">
        <f t="shared" si="6"/>
        <v>0</v>
      </c>
    </row>
    <row r="207" spans="1:6" s="3" customFormat="1" ht="13.5" customHeight="1" hidden="1" thickBot="1">
      <c r="A207" s="383"/>
      <c r="B207" s="381"/>
      <c r="C207" s="39" t="s">
        <v>2</v>
      </c>
      <c r="D207" s="86"/>
      <c r="E207" s="86"/>
      <c r="F207" s="86">
        <f t="shared" si="6"/>
        <v>0</v>
      </c>
    </row>
    <row r="208" spans="1:6" s="3" customFormat="1" ht="13.5" customHeight="1" hidden="1" thickBot="1">
      <c r="A208" s="383"/>
      <c r="B208" s="381"/>
      <c r="C208" s="39" t="s">
        <v>4</v>
      </c>
      <c r="D208" s="112"/>
      <c r="E208" s="112"/>
      <c r="F208" s="86">
        <f t="shared" si="6"/>
        <v>0</v>
      </c>
    </row>
    <row r="209" spans="1:6" s="3" customFormat="1" ht="13.5" customHeight="1" hidden="1" thickBot="1">
      <c r="A209" s="383"/>
      <c r="B209" s="381"/>
      <c r="C209" s="39" t="s">
        <v>3</v>
      </c>
      <c r="D209" s="112"/>
      <c r="E209" s="112"/>
      <c r="F209" s="86">
        <f t="shared" si="6"/>
        <v>0</v>
      </c>
    </row>
    <row r="210" spans="1:6" s="3" customFormat="1" ht="13.5" customHeight="1" hidden="1" thickBot="1">
      <c r="A210" s="383"/>
      <c r="B210" s="381"/>
      <c r="C210" s="242" t="s">
        <v>160</v>
      </c>
      <c r="D210" s="110"/>
      <c r="E210" s="110"/>
      <c r="F210" s="86">
        <f t="shared" si="6"/>
        <v>0</v>
      </c>
    </row>
    <row r="211" spans="1:6" s="3" customFormat="1" ht="15" customHeight="1" hidden="1" thickBot="1">
      <c r="A211" s="383"/>
      <c r="B211" s="381" t="s">
        <v>42</v>
      </c>
      <c r="C211" s="243" t="s">
        <v>156</v>
      </c>
      <c r="D211" s="86"/>
      <c r="E211" s="86"/>
      <c r="F211" s="86">
        <f t="shared" si="6"/>
        <v>0</v>
      </c>
    </row>
    <row r="212" spans="1:6" s="3" customFormat="1" ht="13.5" customHeight="1" hidden="1" thickBot="1">
      <c r="A212" s="383"/>
      <c r="B212" s="381"/>
      <c r="C212" s="39" t="s">
        <v>1</v>
      </c>
      <c r="D212" s="86"/>
      <c r="E212" s="86"/>
      <c r="F212" s="86">
        <f t="shared" si="6"/>
        <v>0</v>
      </c>
    </row>
    <row r="213" spans="1:6" s="3" customFormat="1" ht="13.5" customHeight="1" hidden="1" thickBot="1">
      <c r="A213" s="383"/>
      <c r="B213" s="381"/>
      <c r="C213" s="39" t="s">
        <v>2</v>
      </c>
      <c r="D213" s="86"/>
      <c r="E213" s="86"/>
      <c r="F213" s="86">
        <f t="shared" si="6"/>
        <v>0</v>
      </c>
    </row>
    <row r="214" spans="1:6" s="3" customFormat="1" ht="13.5" customHeight="1" hidden="1" thickBot="1">
      <c r="A214" s="383"/>
      <c r="B214" s="381"/>
      <c r="C214" s="39" t="s">
        <v>4</v>
      </c>
      <c r="D214" s="112"/>
      <c r="E214" s="112"/>
      <c r="F214" s="86">
        <f t="shared" si="6"/>
        <v>0</v>
      </c>
    </row>
    <row r="215" spans="1:6" s="3" customFormat="1" ht="13.5" customHeight="1" hidden="1" thickBot="1">
      <c r="A215" s="383"/>
      <c r="B215" s="381"/>
      <c r="C215" s="39" t="s">
        <v>3</v>
      </c>
      <c r="D215" s="112"/>
      <c r="E215" s="112"/>
      <c r="F215" s="86">
        <f t="shared" si="6"/>
        <v>0</v>
      </c>
    </row>
    <row r="216" spans="1:6" s="3" customFormat="1" ht="13.5" customHeight="1" hidden="1" thickBot="1">
      <c r="A216" s="383"/>
      <c r="B216" s="389"/>
      <c r="C216" s="244" t="s">
        <v>160</v>
      </c>
      <c r="D216" s="114"/>
      <c r="E216" s="114"/>
      <c r="F216" s="89">
        <f t="shared" si="6"/>
        <v>0</v>
      </c>
    </row>
    <row r="217" spans="1:6" s="3" customFormat="1" ht="13.5" customHeight="1">
      <c r="A217" s="383"/>
      <c r="B217" s="385" t="s">
        <v>157</v>
      </c>
      <c r="C217" s="51" t="s">
        <v>175</v>
      </c>
      <c r="D217" s="251">
        <v>3267.89</v>
      </c>
      <c r="E217" s="251">
        <v>1458.03</v>
      </c>
      <c r="F217" s="106">
        <f t="shared" si="6"/>
        <v>4725.92</v>
      </c>
    </row>
    <row r="218" spans="1:6" s="3" customFormat="1" ht="12.75">
      <c r="A218" s="383"/>
      <c r="B218" s="386"/>
      <c r="C218" s="39" t="s">
        <v>1</v>
      </c>
      <c r="D218" s="252">
        <v>14878.08</v>
      </c>
      <c r="E218" s="252">
        <v>13342.51</v>
      </c>
      <c r="F218" s="86">
        <f t="shared" si="6"/>
        <v>28220.59</v>
      </c>
    </row>
    <row r="219" spans="1:6" s="3" customFormat="1" ht="12.75">
      <c r="A219" s="383"/>
      <c r="B219" s="386"/>
      <c r="C219" s="39" t="s">
        <v>2</v>
      </c>
      <c r="D219" s="252">
        <v>14527.04</v>
      </c>
      <c r="E219" s="252">
        <v>12674.48</v>
      </c>
      <c r="F219" s="86">
        <f t="shared" si="6"/>
        <v>27201.52</v>
      </c>
    </row>
    <row r="220" spans="1:6" s="3" customFormat="1" ht="12.75">
      <c r="A220" s="383"/>
      <c r="B220" s="386"/>
      <c r="C220" s="39" t="s">
        <v>4</v>
      </c>
      <c r="D220" s="173">
        <f>+D218</f>
        <v>14878.08</v>
      </c>
      <c r="E220" s="173">
        <f>+E218</f>
        <v>13342.51</v>
      </c>
      <c r="F220" s="86">
        <f t="shared" si="6"/>
        <v>28220.59</v>
      </c>
    </row>
    <row r="221" spans="1:6" s="3" customFormat="1" ht="12.75">
      <c r="A221" s="383"/>
      <c r="B221" s="386"/>
      <c r="C221" s="39" t="s">
        <v>3</v>
      </c>
      <c r="D221" s="173">
        <f>+D219</f>
        <v>14527.04</v>
      </c>
      <c r="E221" s="173">
        <f>E220+E217</f>
        <v>14800.54</v>
      </c>
      <c r="F221" s="86">
        <f t="shared" si="6"/>
        <v>29327.58</v>
      </c>
    </row>
    <row r="222" spans="1:6" s="3" customFormat="1" ht="13.5" thickBot="1">
      <c r="A222" s="384"/>
      <c r="B222" s="387"/>
      <c r="C222" s="40" t="s">
        <v>199</v>
      </c>
      <c r="D222" s="75">
        <f>D217+D218-D219</f>
        <v>3618.9300000000003</v>
      </c>
      <c r="E222" s="75">
        <f>E217+E218-E219</f>
        <v>2126.0600000000013</v>
      </c>
      <c r="F222" s="78">
        <f t="shared" si="6"/>
        <v>5744.990000000002</v>
      </c>
    </row>
    <row r="223" spans="1:6" s="3" customFormat="1" ht="13.5" customHeight="1">
      <c r="A223" s="390" t="s">
        <v>29</v>
      </c>
      <c r="B223" s="385" t="s">
        <v>30</v>
      </c>
      <c r="C223" s="51" t="s">
        <v>175</v>
      </c>
      <c r="D223" s="214">
        <v>46576.99</v>
      </c>
      <c r="E223" s="106"/>
      <c r="F223" s="106">
        <f aca="true" t="shared" si="7" ref="F223:F240">SUM(D223:E223)</f>
        <v>46576.99</v>
      </c>
    </row>
    <row r="224" spans="1:6" s="3" customFormat="1" ht="12.75">
      <c r="A224" s="391"/>
      <c r="B224" s="386"/>
      <c r="C224" s="39" t="s">
        <v>1</v>
      </c>
      <c r="D224" s="173">
        <v>235045.56</v>
      </c>
      <c r="E224" s="252"/>
      <c r="F224" s="86">
        <f t="shared" si="7"/>
        <v>235045.56</v>
      </c>
    </row>
    <row r="225" spans="1:6" s="3" customFormat="1" ht="12.75">
      <c r="A225" s="391"/>
      <c r="B225" s="386"/>
      <c r="C225" s="39" t="s">
        <v>2</v>
      </c>
      <c r="D225" s="173">
        <v>225416.01</v>
      </c>
      <c r="E225" s="252"/>
      <c r="F225" s="86">
        <f t="shared" si="7"/>
        <v>225416.01</v>
      </c>
    </row>
    <row r="226" spans="1:6" s="3" customFormat="1" ht="12.75">
      <c r="A226" s="391"/>
      <c r="B226" s="386"/>
      <c r="C226" s="39" t="s">
        <v>4</v>
      </c>
      <c r="D226" s="173">
        <f>+D224</f>
        <v>235045.56</v>
      </c>
      <c r="E226" s="173"/>
      <c r="F226" s="86">
        <f t="shared" si="7"/>
        <v>235045.56</v>
      </c>
    </row>
    <row r="227" spans="1:6" s="3" customFormat="1" ht="12.75">
      <c r="A227" s="391"/>
      <c r="B227" s="386"/>
      <c r="C227" s="39" t="s">
        <v>3</v>
      </c>
      <c r="D227" s="173">
        <f>+D225</f>
        <v>225416.01</v>
      </c>
      <c r="E227" s="173"/>
      <c r="F227" s="86">
        <f t="shared" si="7"/>
        <v>225416.01</v>
      </c>
    </row>
    <row r="228" spans="1:6" s="3" customFormat="1" ht="13.5" thickBot="1">
      <c r="A228" s="392"/>
      <c r="B228" s="387"/>
      <c r="C228" s="40" t="s">
        <v>199</v>
      </c>
      <c r="D228" s="75">
        <f>D223+D224-D225</f>
        <v>56206.53999999998</v>
      </c>
      <c r="E228" s="75">
        <f>E223+E224-E225</f>
        <v>0</v>
      </c>
      <c r="F228" s="78">
        <f t="shared" si="7"/>
        <v>56206.53999999998</v>
      </c>
    </row>
    <row r="229" spans="1:8" s="3" customFormat="1" ht="12.75">
      <c r="A229" s="382" t="s">
        <v>25</v>
      </c>
      <c r="B229" s="385" t="s">
        <v>193</v>
      </c>
      <c r="C229" s="51" t="s">
        <v>175</v>
      </c>
      <c r="D229" s="214">
        <v>273.45</v>
      </c>
      <c r="E229" s="106"/>
      <c r="F229" s="106">
        <f t="shared" si="7"/>
        <v>273.45</v>
      </c>
      <c r="G229" s="21"/>
      <c r="H229" s="35"/>
    </row>
    <row r="230" spans="1:8" s="3" customFormat="1" ht="12.75">
      <c r="A230" s="383"/>
      <c r="B230" s="386"/>
      <c r="C230" s="39" t="s">
        <v>1</v>
      </c>
      <c r="D230" s="173">
        <v>1380.96</v>
      </c>
      <c r="E230" s="86"/>
      <c r="F230" s="86">
        <f t="shared" si="7"/>
        <v>1380.96</v>
      </c>
      <c r="G230" s="21"/>
      <c r="H230" s="35"/>
    </row>
    <row r="231" spans="1:8" s="3" customFormat="1" ht="12.75">
      <c r="A231" s="383"/>
      <c r="B231" s="386"/>
      <c r="C231" s="39" t="s">
        <v>2</v>
      </c>
      <c r="D231" s="173">
        <v>1323.41</v>
      </c>
      <c r="E231" s="86"/>
      <c r="F231" s="86">
        <f t="shared" si="7"/>
        <v>1323.41</v>
      </c>
      <c r="G231" s="21"/>
      <c r="H231" s="35"/>
    </row>
    <row r="232" spans="1:8" s="3" customFormat="1" ht="12.75">
      <c r="A232" s="383"/>
      <c r="B232" s="386"/>
      <c r="C232" s="39" t="s">
        <v>4</v>
      </c>
      <c r="D232" s="173">
        <f>+D230</f>
        <v>1380.96</v>
      </c>
      <c r="E232" s="173"/>
      <c r="F232" s="86">
        <f t="shared" si="7"/>
        <v>1380.96</v>
      </c>
      <c r="G232" s="22"/>
      <c r="H232" s="35"/>
    </row>
    <row r="233" spans="1:8" s="3" customFormat="1" ht="12.75">
      <c r="A233" s="383"/>
      <c r="B233" s="386"/>
      <c r="C233" s="39" t="s">
        <v>3</v>
      </c>
      <c r="D233" s="173">
        <f>+D231</f>
        <v>1323.41</v>
      </c>
      <c r="E233" s="173"/>
      <c r="F233" s="86">
        <f t="shared" si="7"/>
        <v>1323.41</v>
      </c>
      <c r="G233" s="22"/>
      <c r="H233" s="35"/>
    </row>
    <row r="234" spans="1:8" s="3" customFormat="1" ht="13.5" thickBot="1">
      <c r="A234" s="384"/>
      <c r="B234" s="387"/>
      <c r="C234" s="40" t="s">
        <v>199</v>
      </c>
      <c r="D234" s="75">
        <f>D229+D230-D231</f>
        <v>331</v>
      </c>
      <c r="E234" s="75"/>
      <c r="F234" s="78">
        <f t="shared" si="7"/>
        <v>331</v>
      </c>
      <c r="G234" s="23"/>
      <c r="H234" s="36"/>
    </row>
    <row r="235" spans="1:8" s="3" customFormat="1" ht="13.5" customHeight="1">
      <c r="A235" s="390" t="s">
        <v>31</v>
      </c>
      <c r="B235" s="385" t="s">
        <v>30</v>
      </c>
      <c r="C235" s="51" t="s">
        <v>175</v>
      </c>
      <c r="D235" s="214">
        <v>11667.02</v>
      </c>
      <c r="E235" s="106"/>
      <c r="F235" s="106">
        <f t="shared" si="7"/>
        <v>11667.02</v>
      </c>
      <c r="G235" s="23"/>
      <c r="H235" s="36"/>
    </row>
    <row r="236" spans="1:8" s="3" customFormat="1" ht="12.75">
      <c r="A236" s="391"/>
      <c r="B236" s="386"/>
      <c r="C236" s="39" t="s">
        <v>1</v>
      </c>
      <c r="D236" s="173">
        <v>58876.2</v>
      </c>
      <c r="E236" s="86"/>
      <c r="F236" s="86">
        <f t="shared" si="7"/>
        <v>58876.2</v>
      </c>
      <c r="G236" s="23"/>
      <c r="H236" s="36"/>
    </row>
    <row r="237" spans="1:8" s="3" customFormat="1" ht="12.75">
      <c r="A237" s="391"/>
      <c r="B237" s="386"/>
      <c r="C237" s="39" t="s">
        <v>2</v>
      </c>
      <c r="D237" s="173">
        <v>56464.16</v>
      </c>
      <c r="E237" s="86"/>
      <c r="F237" s="86">
        <f t="shared" si="7"/>
        <v>56464.16</v>
      </c>
      <c r="G237" s="23"/>
      <c r="H237" s="36"/>
    </row>
    <row r="238" spans="1:8" s="3" customFormat="1" ht="12.75">
      <c r="A238" s="391"/>
      <c r="B238" s="386"/>
      <c r="C238" s="39" t="s">
        <v>4</v>
      </c>
      <c r="D238" s="173">
        <f>+D236</f>
        <v>58876.2</v>
      </c>
      <c r="E238" s="173"/>
      <c r="F238" s="86">
        <f t="shared" si="7"/>
        <v>58876.2</v>
      </c>
      <c r="G238" s="23"/>
      <c r="H238" s="36"/>
    </row>
    <row r="239" spans="1:8" s="3" customFormat="1" ht="12.75">
      <c r="A239" s="391"/>
      <c r="B239" s="386"/>
      <c r="C239" s="39" t="s">
        <v>3</v>
      </c>
      <c r="D239" s="173">
        <f>+D237</f>
        <v>56464.16</v>
      </c>
      <c r="E239" s="173"/>
      <c r="F239" s="86">
        <f t="shared" si="7"/>
        <v>56464.16</v>
      </c>
      <c r="G239" s="23"/>
      <c r="H239" s="36"/>
    </row>
    <row r="240" spans="1:8" s="3" customFormat="1" ht="13.5" thickBot="1">
      <c r="A240" s="392"/>
      <c r="B240" s="387"/>
      <c r="C240" s="40" t="s">
        <v>199</v>
      </c>
      <c r="D240" s="75">
        <f>D235+D236-D237</f>
        <v>14079.059999999998</v>
      </c>
      <c r="E240" s="75"/>
      <c r="F240" s="78">
        <f t="shared" si="7"/>
        <v>14079.059999999998</v>
      </c>
      <c r="G240" s="23"/>
      <c r="H240" s="36"/>
    </row>
    <row r="241" spans="1:6" s="24" customFormat="1" ht="12.75" customHeight="1">
      <c r="A241" s="382" t="s">
        <v>23</v>
      </c>
      <c r="B241" s="385" t="s">
        <v>41</v>
      </c>
      <c r="C241" s="51" t="s">
        <v>175</v>
      </c>
      <c r="D241" s="214">
        <v>45432.9</v>
      </c>
      <c r="E241" s="214">
        <v>39635.38</v>
      </c>
      <c r="F241" s="106">
        <f t="shared" si="6"/>
        <v>85068.28</v>
      </c>
    </row>
    <row r="242" spans="1:6" s="24" customFormat="1" ht="12.75">
      <c r="A242" s="383"/>
      <c r="B242" s="386"/>
      <c r="C242" s="39" t="s">
        <v>1</v>
      </c>
      <c r="D242" s="173">
        <v>505185.03</v>
      </c>
      <c r="E242" s="173">
        <v>366018.53</v>
      </c>
      <c r="F242" s="86">
        <f t="shared" si="6"/>
        <v>871203.56</v>
      </c>
    </row>
    <row r="243" spans="1:6" s="24" customFormat="1" ht="12.75">
      <c r="A243" s="383"/>
      <c r="B243" s="386"/>
      <c r="C243" s="39" t="s">
        <v>2</v>
      </c>
      <c r="D243" s="173">
        <v>461183.22</v>
      </c>
      <c r="E243" s="173">
        <v>347365.08</v>
      </c>
      <c r="F243" s="86">
        <f t="shared" si="6"/>
        <v>808548.3</v>
      </c>
    </row>
    <row r="244" spans="1:6" s="24" customFormat="1" ht="12.75">
      <c r="A244" s="383"/>
      <c r="B244" s="386"/>
      <c r="C244" s="39" t="s">
        <v>4</v>
      </c>
      <c r="D244" s="173">
        <f>+D242</f>
        <v>505185.03</v>
      </c>
      <c r="E244" s="173">
        <f>+E242</f>
        <v>366018.53</v>
      </c>
      <c r="F244" s="86">
        <f t="shared" si="6"/>
        <v>871203.56</v>
      </c>
    </row>
    <row r="245" spans="1:6" s="24" customFormat="1" ht="12.75">
      <c r="A245" s="383"/>
      <c r="B245" s="386"/>
      <c r="C245" s="39" t="s">
        <v>3</v>
      </c>
      <c r="D245" s="173">
        <f>D244+D241</f>
        <v>550617.93</v>
      </c>
      <c r="E245" s="173">
        <f>E244+E241</f>
        <v>405653.91000000003</v>
      </c>
      <c r="F245" s="86">
        <f t="shared" si="6"/>
        <v>956271.8400000001</v>
      </c>
    </row>
    <row r="246" spans="1:6" s="3" customFormat="1" ht="13.5" thickBot="1">
      <c r="A246" s="384"/>
      <c r="B246" s="387"/>
      <c r="C246" s="40" t="s">
        <v>199</v>
      </c>
      <c r="D246" s="75">
        <f>D241+D242-D243</f>
        <v>89434.71000000008</v>
      </c>
      <c r="E246" s="75">
        <f>E241+E242-E243</f>
        <v>58288.830000000016</v>
      </c>
      <c r="F246" s="78">
        <f t="shared" si="6"/>
        <v>147723.5400000001</v>
      </c>
    </row>
    <row r="247" spans="1:6" s="24" customFormat="1" ht="12.75">
      <c r="A247" s="393" t="s">
        <v>189</v>
      </c>
      <c r="B247" s="393"/>
      <c r="C247" s="376"/>
      <c r="D247" s="121"/>
      <c r="E247" s="121"/>
      <c r="F247" s="121"/>
    </row>
    <row r="248" spans="1:6" s="24" customFormat="1" ht="12.75">
      <c r="A248" s="377"/>
      <c r="B248" s="377"/>
      <c r="C248" s="245" t="s">
        <v>175</v>
      </c>
      <c r="D248" s="122">
        <f>D115+D121+D127+D133+D139+D145+D151+D187+D217+D223+D229+D235+D241</f>
        <v>324359.8400000001</v>
      </c>
      <c r="E248" s="122">
        <f>E115+E121+E127+E133+E139+E145+E151+E187+E217+E223+E229+E235+E241</f>
        <v>154921.97999999998</v>
      </c>
      <c r="F248" s="122">
        <f>F115+F121+F127+F133+F139+F145+F151+F187+F217+F223+F229+F235+F241</f>
        <v>479281.82000000007</v>
      </c>
    </row>
    <row r="249" spans="1:6" s="24" customFormat="1" ht="12.75">
      <c r="A249" s="377"/>
      <c r="B249" s="377"/>
      <c r="C249" s="246" t="s">
        <v>1</v>
      </c>
      <c r="D249" s="122">
        <f aca="true" t="shared" si="8" ref="D249:F253">D116+D122+D128+D134+D140+D146+D152+D188+D218+D224+D230+D236+D242</f>
        <v>1796171.5499999998</v>
      </c>
      <c r="E249" s="122">
        <f t="shared" si="8"/>
        <v>1424377.1900000002</v>
      </c>
      <c r="F249" s="122">
        <f t="shared" si="8"/>
        <v>3220548.7399999998</v>
      </c>
    </row>
    <row r="250" spans="1:6" s="24" customFormat="1" ht="12.75">
      <c r="A250" s="377"/>
      <c r="B250" s="377"/>
      <c r="C250" s="246" t="s">
        <v>2</v>
      </c>
      <c r="D250" s="122">
        <f t="shared" si="8"/>
        <v>1716598.05</v>
      </c>
      <c r="E250" s="122">
        <f t="shared" si="8"/>
        <v>1352338.1</v>
      </c>
      <c r="F250" s="122">
        <f t="shared" si="8"/>
        <v>3068936.1499999994</v>
      </c>
    </row>
    <row r="251" spans="1:6" s="24" customFormat="1" ht="12.75">
      <c r="A251" s="377"/>
      <c r="B251" s="377"/>
      <c r="C251" s="246" t="s">
        <v>4</v>
      </c>
      <c r="D251" s="122">
        <f t="shared" si="8"/>
        <v>1410373.3299999998</v>
      </c>
      <c r="E251" s="122">
        <f t="shared" si="8"/>
        <v>1118130.3900000001</v>
      </c>
      <c r="F251" s="122">
        <f t="shared" si="8"/>
        <v>2528503.7199999997</v>
      </c>
    </row>
    <row r="252" spans="1:6" s="24" customFormat="1" ht="12.75">
      <c r="A252" s="377"/>
      <c r="B252" s="377"/>
      <c r="C252" s="246" t="s">
        <v>3</v>
      </c>
      <c r="D252" s="122">
        <f t="shared" si="8"/>
        <v>1646215.9100000001</v>
      </c>
      <c r="E252" s="122">
        <f t="shared" si="8"/>
        <v>1323230.71</v>
      </c>
      <c r="F252" s="122">
        <f t="shared" si="8"/>
        <v>2969446.62</v>
      </c>
    </row>
    <row r="253" spans="1:6" s="3" customFormat="1" ht="13.5" thickBot="1">
      <c r="A253" s="378"/>
      <c r="B253" s="378"/>
      <c r="C253" s="247" t="s">
        <v>199</v>
      </c>
      <c r="D253" s="123">
        <f t="shared" si="8"/>
        <v>403933.3399999999</v>
      </c>
      <c r="E253" s="123">
        <f t="shared" si="8"/>
        <v>226961.07000000012</v>
      </c>
      <c r="F253" s="123">
        <f t="shared" si="8"/>
        <v>630894.4099999999</v>
      </c>
    </row>
    <row r="254" spans="1:6" s="3" customFormat="1" ht="12.75">
      <c r="A254" s="382" t="s">
        <v>158</v>
      </c>
      <c r="B254" s="385" t="s">
        <v>27</v>
      </c>
      <c r="C254" s="51" t="s">
        <v>175</v>
      </c>
      <c r="D254" s="251">
        <v>18433.78</v>
      </c>
      <c r="E254" s="106">
        <v>4995.85</v>
      </c>
      <c r="F254" s="106">
        <f aca="true" t="shared" si="9" ref="F254:F265">SUM(D254:E254)</f>
        <v>23429.629999999997</v>
      </c>
    </row>
    <row r="255" spans="1:6" s="3" customFormat="1" ht="12.75">
      <c r="A255" s="383"/>
      <c r="B255" s="386"/>
      <c r="C255" s="39" t="s">
        <v>1</v>
      </c>
      <c r="D255" s="252">
        <v>75600</v>
      </c>
      <c r="E255" s="86">
        <v>54780</v>
      </c>
      <c r="F255" s="86">
        <f t="shared" si="9"/>
        <v>130380</v>
      </c>
    </row>
    <row r="256" spans="1:6" s="3" customFormat="1" ht="12.75">
      <c r="A256" s="383"/>
      <c r="B256" s="386"/>
      <c r="C256" s="39" t="s">
        <v>2</v>
      </c>
      <c r="D256" s="252">
        <v>73873.05</v>
      </c>
      <c r="E256" s="86">
        <v>52757.52</v>
      </c>
      <c r="F256" s="86">
        <f t="shared" si="9"/>
        <v>126630.57</v>
      </c>
    </row>
    <row r="257" spans="1:6" s="3" customFormat="1" ht="12.75">
      <c r="A257" s="383"/>
      <c r="B257" s="386"/>
      <c r="C257" s="39" t="s">
        <v>4</v>
      </c>
      <c r="D257" s="173">
        <f>+D255</f>
        <v>75600</v>
      </c>
      <c r="E257" s="173">
        <f>+E255</f>
        <v>54780</v>
      </c>
      <c r="F257" s="86">
        <f t="shared" si="9"/>
        <v>130380</v>
      </c>
    </row>
    <row r="258" spans="1:6" s="3" customFormat="1" ht="12.75">
      <c r="A258" s="383"/>
      <c r="B258" s="386"/>
      <c r="C258" s="39" t="s">
        <v>3</v>
      </c>
      <c r="D258" s="173">
        <f>+D256</f>
        <v>73873.05</v>
      </c>
      <c r="E258" s="173">
        <f>+E256</f>
        <v>52757.52</v>
      </c>
      <c r="F258" s="86">
        <f t="shared" si="9"/>
        <v>126630.57</v>
      </c>
    </row>
    <row r="259" spans="1:6" s="3" customFormat="1" ht="13.5" thickBot="1">
      <c r="A259" s="384"/>
      <c r="B259" s="387"/>
      <c r="C259" s="40" t="s">
        <v>199</v>
      </c>
      <c r="D259" s="75">
        <f>D254+D255-D256</f>
        <v>20160.729999999996</v>
      </c>
      <c r="E259" s="75">
        <f>E254+E255-E256</f>
        <v>7018.330000000002</v>
      </c>
      <c r="F259" s="78">
        <f t="shared" si="9"/>
        <v>27179.059999999998</v>
      </c>
    </row>
    <row r="260" spans="1:8" s="3" customFormat="1" ht="12.75">
      <c r="A260" s="382" t="s">
        <v>110</v>
      </c>
      <c r="B260" s="385" t="s">
        <v>24</v>
      </c>
      <c r="C260" s="51" t="s">
        <v>175</v>
      </c>
      <c r="D260" s="249"/>
      <c r="E260" s="249">
        <v>1317.84</v>
      </c>
      <c r="F260" s="106">
        <f t="shared" si="9"/>
        <v>1317.84</v>
      </c>
      <c r="G260" s="37"/>
      <c r="H260" s="37"/>
    </row>
    <row r="261" spans="1:6" s="3" customFormat="1" ht="12.75">
      <c r="A261" s="383"/>
      <c r="B261" s="386"/>
      <c r="C261" s="243" t="s">
        <v>1</v>
      </c>
      <c r="D261" s="120"/>
      <c r="E261" s="173">
        <v>13500</v>
      </c>
      <c r="F261" s="86">
        <f t="shared" si="9"/>
        <v>13500</v>
      </c>
    </row>
    <row r="262" spans="1:6" s="3" customFormat="1" ht="12.75">
      <c r="A262" s="383"/>
      <c r="B262" s="386"/>
      <c r="C262" s="243" t="s">
        <v>2</v>
      </c>
      <c r="D262" s="120"/>
      <c r="E262" s="173">
        <v>13632.94</v>
      </c>
      <c r="F262" s="86">
        <f t="shared" si="9"/>
        <v>13632.94</v>
      </c>
    </row>
    <row r="263" spans="1:6" s="3" customFormat="1" ht="12.75">
      <c r="A263" s="383"/>
      <c r="B263" s="386"/>
      <c r="C263" s="39" t="s">
        <v>4</v>
      </c>
      <c r="D263" s="173"/>
      <c r="E263" s="173">
        <f>+E261</f>
        <v>13500</v>
      </c>
      <c r="F263" s="86">
        <f t="shared" si="9"/>
        <v>13500</v>
      </c>
    </row>
    <row r="264" spans="1:6" s="3" customFormat="1" ht="12.75">
      <c r="A264" s="383"/>
      <c r="B264" s="386"/>
      <c r="C264" s="39" t="s">
        <v>3</v>
      </c>
      <c r="D264" s="173"/>
      <c r="E264" s="173">
        <f>+E262</f>
        <v>13632.94</v>
      </c>
      <c r="F264" s="86">
        <f t="shared" si="9"/>
        <v>13632.94</v>
      </c>
    </row>
    <row r="265" spans="1:6" s="3" customFormat="1" ht="13.5" thickBot="1">
      <c r="A265" s="384"/>
      <c r="B265" s="387"/>
      <c r="C265" s="40" t="s">
        <v>199</v>
      </c>
      <c r="D265" s="75"/>
      <c r="E265" s="75">
        <f>E260+E261-E262</f>
        <v>1184.8999999999996</v>
      </c>
      <c r="F265" s="78">
        <f t="shared" si="9"/>
        <v>1184.8999999999996</v>
      </c>
    </row>
    <row r="266" spans="1:6" s="3" customFormat="1" ht="13.5" customHeight="1" hidden="1" thickBot="1">
      <c r="A266" s="401" t="s">
        <v>32</v>
      </c>
      <c r="B266" s="402" t="s">
        <v>19</v>
      </c>
      <c r="C266" s="193" t="s">
        <v>99</v>
      </c>
      <c r="D266" s="90"/>
      <c r="E266" s="90"/>
      <c r="F266" s="90" t="e">
        <f>SUM(#REF!)</f>
        <v>#REF!</v>
      </c>
    </row>
    <row r="267" spans="1:6" s="3" customFormat="1" ht="12.75" customHeight="1" hidden="1">
      <c r="A267" s="379"/>
      <c r="B267" s="375"/>
      <c r="C267" s="39" t="s">
        <v>1</v>
      </c>
      <c r="D267" s="86"/>
      <c r="E267" s="86"/>
      <c r="F267" s="86" t="e">
        <f>SUM(#REF!)</f>
        <v>#REF!</v>
      </c>
    </row>
    <row r="268" spans="1:6" s="3" customFormat="1" ht="12.75" customHeight="1" hidden="1">
      <c r="A268" s="379"/>
      <c r="B268" s="375"/>
      <c r="C268" s="39" t="s">
        <v>2</v>
      </c>
      <c r="D268" s="86"/>
      <c r="E268" s="86"/>
      <c r="F268" s="86" t="e">
        <f>SUM(#REF!)</f>
        <v>#REF!</v>
      </c>
    </row>
    <row r="269" spans="1:6" s="3" customFormat="1" ht="12.75" customHeight="1" hidden="1">
      <c r="A269" s="379"/>
      <c r="B269" s="375"/>
      <c r="C269" s="39" t="s">
        <v>4</v>
      </c>
      <c r="D269" s="112"/>
      <c r="E269" s="112"/>
      <c r="F269" s="86" t="e">
        <f>SUM(#REF!)</f>
        <v>#REF!</v>
      </c>
    </row>
    <row r="270" spans="1:6" s="3" customFormat="1" ht="12.75" customHeight="1" hidden="1">
      <c r="A270" s="379"/>
      <c r="B270" s="375"/>
      <c r="C270" s="39" t="s">
        <v>3</v>
      </c>
      <c r="D270" s="112"/>
      <c r="E270" s="112"/>
      <c r="F270" s="86" t="e">
        <f>SUM(#REF!)</f>
        <v>#REF!</v>
      </c>
    </row>
    <row r="271" spans="1:6" s="3" customFormat="1" ht="12.75" customHeight="1" hidden="1">
      <c r="A271" s="379"/>
      <c r="B271" s="375"/>
      <c r="C271" s="242" t="s">
        <v>101</v>
      </c>
      <c r="D271" s="110"/>
      <c r="E271" s="110"/>
      <c r="F271" s="110" t="e">
        <f>SUM(#REF!)</f>
        <v>#REF!</v>
      </c>
    </row>
    <row r="272" spans="1:6" s="3" customFormat="1" ht="12.75" customHeight="1" hidden="1">
      <c r="A272" s="379" t="s">
        <v>46</v>
      </c>
      <c r="B272" s="375" t="s">
        <v>38</v>
      </c>
      <c r="C272" s="39" t="s">
        <v>99</v>
      </c>
      <c r="D272" s="86"/>
      <c r="E272" s="86"/>
      <c r="F272" s="86" t="e">
        <f>SUM(#REF!)</f>
        <v>#REF!</v>
      </c>
    </row>
    <row r="273" spans="1:6" s="3" customFormat="1" ht="12.75" customHeight="1" hidden="1">
      <c r="A273" s="379"/>
      <c r="B273" s="375"/>
      <c r="C273" s="39" t="s">
        <v>1</v>
      </c>
      <c r="D273" s="86"/>
      <c r="E273" s="86"/>
      <c r="F273" s="86" t="e">
        <f>SUM(#REF!)</f>
        <v>#REF!</v>
      </c>
    </row>
    <row r="274" spans="1:6" s="3" customFormat="1" ht="12.75" customHeight="1" hidden="1">
      <c r="A274" s="379"/>
      <c r="B274" s="375"/>
      <c r="C274" s="39" t="s">
        <v>2</v>
      </c>
      <c r="D274" s="86"/>
      <c r="E274" s="86"/>
      <c r="F274" s="86" t="e">
        <f>SUM(#REF!)</f>
        <v>#REF!</v>
      </c>
    </row>
    <row r="275" spans="1:6" s="3" customFormat="1" ht="12.75" customHeight="1" hidden="1">
      <c r="A275" s="379"/>
      <c r="B275" s="375"/>
      <c r="C275" s="39" t="s">
        <v>4</v>
      </c>
      <c r="D275" s="86"/>
      <c r="E275" s="86"/>
      <c r="F275" s="86" t="e">
        <f>SUM(#REF!)</f>
        <v>#REF!</v>
      </c>
    </row>
    <row r="276" spans="1:6" s="3" customFormat="1" ht="12.75" customHeight="1" hidden="1">
      <c r="A276" s="379"/>
      <c r="B276" s="375"/>
      <c r="C276" s="39" t="s">
        <v>3</v>
      </c>
      <c r="D276" s="110"/>
      <c r="E276" s="110"/>
      <c r="F276" s="86" t="e">
        <f>SUM(#REF!)</f>
        <v>#REF!</v>
      </c>
    </row>
    <row r="277" spans="1:6" s="3" customFormat="1" ht="12.75" customHeight="1" hidden="1">
      <c r="A277" s="379"/>
      <c r="B277" s="375"/>
      <c r="C277" s="242" t="s">
        <v>101</v>
      </c>
      <c r="D277" s="110"/>
      <c r="E277" s="110"/>
      <c r="F277" s="110" t="e">
        <f>SUM(#REF!)</f>
        <v>#REF!</v>
      </c>
    </row>
    <row r="278" spans="1:6" s="3" customFormat="1" ht="12.75" customHeight="1" hidden="1">
      <c r="A278" s="379" t="s">
        <v>79</v>
      </c>
      <c r="B278" s="375" t="s">
        <v>38</v>
      </c>
      <c r="C278" s="39" t="s">
        <v>99</v>
      </c>
      <c r="D278" s="86"/>
      <c r="E278" s="86"/>
      <c r="F278" s="86" t="e">
        <f>SUM(#REF!)</f>
        <v>#REF!</v>
      </c>
    </row>
    <row r="279" spans="1:6" s="3" customFormat="1" ht="12.75" customHeight="1" hidden="1">
      <c r="A279" s="379"/>
      <c r="B279" s="375"/>
      <c r="C279" s="39" t="s">
        <v>1</v>
      </c>
      <c r="D279" s="86"/>
      <c r="E279" s="86"/>
      <c r="F279" s="86" t="e">
        <f>SUM(#REF!)</f>
        <v>#REF!</v>
      </c>
    </row>
    <row r="280" spans="1:6" s="3" customFormat="1" ht="12.75" customHeight="1" hidden="1">
      <c r="A280" s="379"/>
      <c r="B280" s="375"/>
      <c r="C280" s="39" t="s">
        <v>2</v>
      </c>
      <c r="D280" s="86"/>
      <c r="E280" s="86"/>
      <c r="F280" s="86" t="e">
        <f>SUM(#REF!)</f>
        <v>#REF!</v>
      </c>
    </row>
    <row r="281" spans="1:6" s="3" customFormat="1" ht="12.75" customHeight="1" hidden="1" thickBot="1">
      <c r="A281" s="379"/>
      <c r="B281" s="375"/>
      <c r="C281" s="39" t="s">
        <v>4</v>
      </c>
      <c r="D281" s="112"/>
      <c r="E281" s="112"/>
      <c r="F281" s="86" t="e">
        <f>SUM(#REF!)</f>
        <v>#REF!</v>
      </c>
    </row>
    <row r="282" spans="1:6" s="3" customFormat="1" ht="12.75" customHeight="1" hidden="1">
      <c r="A282" s="379"/>
      <c r="B282" s="375"/>
      <c r="C282" s="39" t="s">
        <v>3</v>
      </c>
      <c r="D282" s="112"/>
      <c r="E282" s="112"/>
      <c r="F282" s="86" t="e">
        <f>SUM(#REF!)</f>
        <v>#REF!</v>
      </c>
    </row>
    <row r="283" spans="1:6" s="3" customFormat="1" ht="12.75" customHeight="1" hidden="1">
      <c r="A283" s="379"/>
      <c r="B283" s="375"/>
      <c r="C283" s="242" t="s">
        <v>101</v>
      </c>
      <c r="D283" s="110"/>
      <c r="E283" s="110"/>
      <c r="F283" s="110" t="e">
        <f>SUM(#REF!)</f>
        <v>#REF!</v>
      </c>
    </row>
    <row r="284" spans="1:6" s="24" customFormat="1" ht="12.75" customHeight="1" hidden="1">
      <c r="A284" s="379" t="s">
        <v>25</v>
      </c>
      <c r="B284" s="375" t="s">
        <v>26</v>
      </c>
      <c r="C284" s="39" t="s">
        <v>99</v>
      </c>
      <c r="D284" s="112"/>
      <c r="E284" s="112"/>
      <c r="F284" s="86" t="e">
        <f>SUM(#REF!)</f>
        <v>#REF!</v>
      </c>
    </row>
    <row r="285" spans="1:6" s="24" customFormat="1" ht="12.75" customHeight="1" hidden="1">
      <c r="A285" s="379"/>
      <c r="B285" s="375"/>
      <c r="C285" s="39" t="s">
        <v>1</v>
      </c>
      <c r="D285" s="112"/>
      <c r="E285" s="112"/>
      <c r="F285" s="86" t="e">
        <f>SUM(#REF!)</f>
        <v>#REF!</v>
      </c>
    </row>
    <row r="286" spans="1:6" s="24" customFormat="1" ht="12.75" customHeight="1" hidden="1">
      <c r="A286" s="379"/>
      <c r="B286" s="375"/>
      <c r="C286" s="39" t="s">
        <v>2</v>
      </c>
      <c r="D286" s="112"/>
      <c r="E286" s="112"/>
      <c r="F286" s="86" t="e">
        <f>SUM(#REF!)</f>
        <v>#REF!</v>
      </c>
    </row>
    <row r="287" spans="1:6" s="24" customFormat="1" ht="12.75" customHeight="1" hidden="1">
      <c r="A287" s="379"/>
      <c r="B287" s="375"/>
      <c r="C287" s="39" t="s">
        <v>4</v>
      </c>
      <c r="D287" s="112"/>
      <c r="E287" s="112"/>
      <c r="F287" s="86" t="e">
        <f>SUM(#REF!)</f>
        <v>#REF!</v>
      </c>
    </row>
    <row r="288" spans="1:6" s="24" customFormat="1" ht="12.75" customHeight="1" hidden="1">
      <c r="A288" s="379"/>
      <c r="B288" s="375"/>
      <c r="C288" s="39" t="s">
        <v>3</v>
      </c>
      <c r="D288" s="112"/>
      <c r="E288" s="112"/>
      <c r="F288" s="86" t="e">
        <f>SUM(#REF!)</f>
        <v>#REF!</v>
      </c>
    </row>
    <row r="289" spans="1:6" s="3" customFormat="1" ht="12.75" customHeight="1" hidden="1">
      <c r="A289" s="379"/>
      <c r="B289" s="375"/>
      <c r="C289" s="242" t="s">
        <v>101</v>
      </c>
      <c r="D289" s="110"/>
      <c r="E289" s="110"/>
      <c r="F289" s="110" t="e">
        <f>SUM(#REF!)</f>
        <v>#REF!</v>
      </c>
    </row>
    <row r="290" spans="1:6" s="3" customFormat="1" ht="12.75" customHeight="1" hidden="1">
      <c r="A290" s="379" t="s">
        <v>35</v>
      </c>
      <c r="B290" s="375" t="s">
        <v>55</v>
      </c>
      <c r="C290" s="39" t="s">
        <v>99</v>
      </c>
      <c r="D290" s="86"/>
      <c r="E290" s="86"/>
      <c r="F290" s="86" t="e">
        <f>SUM(#REF!)</f>
        <v>#REF!</v>
      </c>
    </row>
    <row r="291" spans="1:6" s="3" customFormat="1" ht="12.75" customHeight="1" hidden="1">
      <c r="A291" s="379"/>
      <c r="B291" s="375"/>
      <c r="C291" s="39" t="s">
        <v>1</v>
      </c>
      <c r="D291" s="86"/>
      <c r="E291" s="86"/>
      <c r="F291" s="86" t="e">
        <f>SUM(#REF!)</f>
        <v>#REF!</v>
      </c>
    </row>
    <row r="292" spans="1:6" s="3" customFormat="1" ht="12.75" customHeight="1" hidden="1">
      <c r="A292" s="379"/>
      <c r="B292" s="375"/>
      <c r="C292" s="39" t="s">
        <v>2</v>
      </c>
      <c r="D292" s="86"/>
      <c r="E292" s="86"/>
      <c r="F292" s="86" t="e">
        <f>SUM(#REF!)</f>
        <v>#REF!</v>
      </c>
    </row>
    <row r="293" spans="1:6" s="3" customFormat="1" ht="12.75" customHeight="1" hidden="1">
      <c r="A293" s="379"/>
      <c r="B293" s="375"/>
      <c r="C293" s="39" t="s">
        <v>4</v>
      </c>
      <c r="D293" s="112"/>
      <c r="E293" s="112"/>
      <c r="F293" s="86" t="e">
        <f>SUM(#REF!)</f>
        <v>#REF!</v>
      </c>
    </row>
    <row r="294" spans="1:6" s="3" customFormat="1" ht="12.75" customHeight="1" hidden="1">
      <c r="A294" s="379"/>
      <c r="B294" s="375"/>
      <c r="C294" s="39" t="s">
        <v>3</v>
      </c>
      <c r="D294" s="112"/>
      <c r="E294" s="112"/>
      <c r="F294" s="86" t="e">
        <f>SUM(#REF!)</f>
        <v>#REF!</v>
      </c>
    </row>
    <row r="295" spans="1:6" s="3" customFormat="1" ht="12.75" customHeight="1" hidden="1">
      <c r="A295" s="379"/>
      <c r="B295" s="375"/>
      <c r="C295" s="242" t="s">
        <v>101</v>
      </c>
      <c r="D295" s="110"/>
      <c r="E295" s="110"/>
      <c r="F295" s="110" t="e">
        <f>SUM(#REF!)</f>
        <v>#REF!</v>
      </c>
    </row>
    <row r="296" spans="1:6" s="3" customFormat="1" ht="12.75" customHeight="1" hidden="1">
      <c r="A296" s="379" t="s">
        <v>35</v>
      </c>
      <c r="B296" s="375" t="s">
        <v>24</v>
      </c>
      <c r="C296" s="39" t="s">
        <v>99</v>
      </c>
      <c r="D296" s="86"/>
      <c r="E296" s="86"/>
      <c r="F296" s="86" t="e">
        <f>SUM(#REF!)</f>
        <v>#REF!</v>
      </c>
    </row>
    <row r="297" spans="1:6" s="3" customFormat="1" ht="12.75" customHeight="1" hidden="1">
      <c r="A297" s="379"/>
      <c r="B297" s="375"/>
      <c r="C297" s="39" t="s">
        <v>1</v>
      </c>
      <c r="D297" s="86"/>
      <c r="E297" s="86"/>
      <c r="F297" s="86" t="e">
        <f>SUM(#REF!)</f>
        <v>#REF!</v>
      </c>
    </row>
    <row r="298" spans="1:6" s="3" customFormat="1" ht="12.75" customHeight="1" hidden="1">
      <c r="A298" s="379"/>
      <c r="B298" s="375"/>
      <c r="C298" s="39" t="s">
        <v>2</v>
      </c>
      <c r="D298" s="86"/>
      <c r="E298" s="86"/>
      <c r="F298" s="86" t="e">
        <f>SUM(#REF!)</f>
        <v>#REF!</v>
      </c>
    </row>
    <row r="299" spans="1:6" s="3" customFormat="1" ht="12.75" customHeight="1" hidden="1">
      <c r="A299" s="379"/>
      <c r="B299" s="375"/>
      <c r="C299" s="39" t="s">
        <v>4</v>
      </c>
      <c r="D299" s="112"/>
      <c r="E299" s="112"/>
      <c r="F299" s="86" t="e">
        <f>SUM(#REF!)</f>
        <v>#REF!</v>
      </c>
    </row>
    <row r="300" spans="1:6" s="3" customFormat="1" ht="12.75" customHeight="1" hidden="1">
      <c r="A300" s="379"/>
      <c r="B300" s="375"/>
      <c r="C300" s="39" t="s">
        <v>3</v>
      </c>
      <c r="D300" s="112"/>
      <c r="E300" s="112"/>
      <c r="F300" s="86" t="e">
        <f>SUM(#REF!)</f>
        <v>#REF!</v>
      </c>
    </row>
    <row r="301" spans="1:6" s="3" customFormat="1" ht="12.75" customHeight="1" hidden="1">
      <c r="A301" s="379"/>
      <c r="B301" s="375"/>
      <c r="C301" s="242" t="s">
        <v>101</v>
      </c>
      <c r="D301" s="110"/>
      <c r="E301" s="110"/>
      <c r="F301" s="110" t="e">
        <f>SUM(#REF!)</f>
        <v>#REF!</v>
      </c>
    </row>
    <row r="302" spans="1:6" s="3" customFormat="1" ht="12.75" customHeight="1" hidden="1">
      <c r="A302" s="379" t="s">
        <v>35</v>
      </c>
      <c r="B302" s="375" t="s">
        <v>44</v>
      </c>
      <c r="C302" s="39" t="s">
        <v>99</v>
      </c>
      <c r="D302" s="86"/>
      <c r="E302" s="86"/>
      <c r="F302" s="86" t="e">
        <f>SUM(#REF!)</f>
        <v>#REF!</v>
      </c>
    </row>
    <row r="303" spans="1:6" s="3" customFormat="1" ht="12.75" customHeight="1" hidden="1">
      <c r="A303" s="379"/>
      <c r="B303" s="375"/>
      <c r="C303" s="39" t="s">
        <v>1</v>
      </c>
      <c r="D303" s="86"/>
      <c r="E303" s="86"/>
      <c r="F303" s="86" t="e">
        <f>SUM(#REF!)</f>
        <v>#REF!</v>
      </c>
    </row>
    <row r="304" spans="1:6" s="3" customFormat="1" ht="12.75" customHeight="1" hidden="1">
      <c r="A304" s="379"/>
      <c r="B304" s="375"/>
      <c r="C304" s="39" t="s">
        <v>2</v>
      </c>
      <c r="D304" s="86"/>
      <c r="E304" s="86"/>
      <c r="F304" s="86" t="e">
        <f>SUM(#REF!)</f>
        <v>#REF!</v>
      </c>
    </row>
    <row r="305" spans="1:6" s="3" customFormat="1" ht="12.75" customHeight="1" hidden="1">
      <c r="A305" s="379"/>
      <c r="B305" s="375"/>
      <c r="C305" s="39" t="s">
        <v>4</v>
      </c>
      <c r="D305" s="112"/>
      <c r="E305" s="112"/>
      <c r="F305" s="86" t="e">
        <f>SUM(#REF!)</f>
        <v>#REF!</v>
      </c>
    </row>
    <row r="306" spans="1:6" s="3" customFormat="1" ht="12.75" customHeight="1" hidden="1">
      <c r="A306" s="379"/>
      <c r="B306" s="375"/>
      <c r="C306" s="39" t="s">
        <v>3</v>
      </c>
      <c r="D306" s="112"/>
      <c r="E306" s="112"/>
      <c r="F306" s="86" t="e">
        <f>SUM(#REF!)</f>
        <v>#REF!</v>
      </c>
    </row>
    <row r="307" spans="1:6" s="3" customFormat="1" ht="12.75" customHeight="1" hidden="1">
      <c r="A307" s="380"/>
      <c r="B307" s="403"/>
      <c r="C307" s="244" t="s">
        <v>101</v>
      </c>
      <c r="D307" s="114"/>
      <c r="E307" s="114"/>
      <c r="F307" s="114" t="e">
        <f>SUM(#REF!)</f>
        <v>#REF!</v>
      </c>
    </row>
    <row r="308" spans="1:6" s="3" customFormat="1" ht="12.75" customHeight="1">
      <c r="A308" s="382"/>
      <c r="B308" s="385" t="s">
        <v>168</v>
      </c>
      <c r="C308" s="51" t="s">
        <v>175</v>
      </c>
      <c r="D308" s="249">
        <v>-9033.37</v>
      </c>
      <c r="E308" s="249"/>
      <c r="F308" s="106">
        <f>SUM(D308:E308)</f>
        <v>-9033.37</v>
      </c>
    </row>
    <row r="309" spans="1:6" s="3" customFormat="1" ht="12.75" customHeight="1">
      <c r="A309" s="383"/>
      <c r="B309" s="386"/>
      <c r="C309" s="243" t="s">
        <v>1</v>
      </c>
      <c r="D309" s="120">
        <v>9039.23</v>
      </c>
      <c r="E309" s="173"/>
      <c r="F309" s="86">
        <f>SUM(D309:E309)</f>
        <v>9039.23</v>
      </c>
    </row>
    <row r="310" spans="1:6" s="3" customFormat="1" ht="12.75" customHeight="1">
      <c r="A310" s="383"/>
      <c r="B310" s="386"/>
      <c r="C310" s="243" t="s">
        <v>2</v>
      </c>
      <c r="D310" s="120">
        <v>5.86</v>
      </c>
      <c r="E310" s="173"/>
      <c r="F310" s="86">
        <f>SUM(D310:E310)</f>
        <v>5.86</v>
      </c>
    </row>
    <row r="311" spans="1:6" s="3" customFormat="1" ht="12.75" customHeight="1">
      <c r="A311" s="383"/>
      <c r="B311" s="386"/>
      <c r="C311" s="39" t="s">
        <v>4</v>
      </c>
      <c r="D311" s="173">
        <f>+D309</f>
        <v>9039.23</v>
      </c>
      <c r="E311" s="173"/>
      <c r="F311" s="86">
        <f>SUM(D311:E311)</f>
        <v>9039.23</v>
      </c>
    </row>
    <row r="312" spans="1:6" s="3" customFormat="1" ht="12.75" customHeight="1">
      <c r="A312" s="383"/>
      <c r="B312" s="386"/>
      <c r="C312" s="39" t="s">
        <v>3</v>
      </c>
      <c r="D312" s="173">
        <f>+D310</f>
        <v>5.86</v>
      </c>
      <c r="E312" s="173"/>
      <c r="F312" s="86">
        <f>SUM(D312:E312)</f>
        <v>5.86</v>
      </c>
    </row>
    <row r="313" spans="1:6" s="3" customFormat="1" ht="12.75" customHeight="1" thickBot="1">
      <c r="A313" s="384"/>
      <c r="B313" s="387"/>
      <c r="C313" s="40" t="s">
        <v>199</v>
      </c>
      <c r="D313" s="75">
        <f>D308+D309-D310</f>
        <v>-1.2372325386422744E-12</v>
      </c>
      <c r="E313" s="75"/>
      <c r="F313" s="75">
        <f>F308+F309-F310</f>
        <v>-1.2372325386422744E-12</v>
      </c>
    </row>
    <row r="314" spans="1:6" s="24" customFormat="1" ht="12.75">
      <c r="A314" s="393" t="s">
        <v>190</v>
      </c>
      <c r="B314" s="393"/>
      <c r="C314" s="376"/>
      <c r="D314" s="122"/>
      <c r="E314" s="122"/>
      <c r="F314" s="122"/>
    </row>
    <row r="315" spans="1:6" s="24" customFormat="1" ht="12.75">
      <c r="A315" s="377"/>
      <c r="B315" s="377"/>
      <c r="C315" s="245" t="s">
        <v>175</v>
      </c>
      <c r="D315" s="122">
        <f>D254+D260+D308</f>
        <v>9400.409999999998</v>
      </c>
      <c r="E315" s="122">
        <f>E254+E260+E308</f>
        <v>6313.6900000000005</v>
      </c>
      <c r="F315" s="122">
        <f>F254+F260+F308</f>
        <v>15714.099999999997</v>
      </c>
    </row>
    <row r="316" spans="1:7" s="24" customFormat="1" ht="12.75">
      <c r="A316" s="377"/>
      <c r="B316" s="377"/>
      <c r="C316" s="246" t="s">
        <v>1</v>
      </c>
      <c r="D316" s="122">
        <f aca="true" t="shared" si="10" ref="D316:F320">D255+D261+D309</f>
        <v>84639.23</v>
      </c>
      <c r="E316" s="122">
        <f t="shared" si="10"/>
        <v>68280</v>
      </c>
      <c r="F316" s="122">
        <f t="shared" si="10"/>
        <v>152919.23</v>
      </c>
      <c r="G316" s="28"/>
    </row>
    <row r="317" spans="1:6" s="24" customFormat="1" ht="12.75">
      <c r="A317" s="377"/>
      <c r="B317" s="377"/>
      <c r="C317" s="246" t="s">
        <v>2</v>
      </c>
      <c r="D317" s="122">
        <f t="shared" si="10"/>
        <v>73878.91</v>
      </c>
      <c r="E317" s="122">
        <f t="shared" si="10"/>
        <v>66390.45999999999</v>
      </c>
      <c r="F317" s="122">
        <f t="shared" si="10"/>
        <v>140269.37</v>
      </c>
    </row>
    <row r="318" spans="1:6" s="24" customFormat="1" ht="12.75">
      <c r="A318" s="377"/>
      <c r="B318" s="377"/>
      <c r="C318" s="246" t="s">
        <v>4</v>
      </c>
      <c r="D318" s="122">
        <f t="shared" si="10"/>
        <v>84639.23</v>
      </c>
      <c r="E318" s="122">
        <f t="shared" si="10"/>
        <v>68280</v>
      </c>
      <c r="F318" s="122">
        <f t="shared" si="10"/>
        <v>152919.23</v>
      </c>
    </row>
    <row r="319" spans="1:6" s="3" customFormat="1" ht="12.75">
      <c r="A319" s="377"/>
      <c r="B319" s="377"/>
      <c r="C319" s="246" t="s">
        <v>3</v>
      </c>
      <c r="D319" s="122">
        <f t="shared" si="10"/>
        <v>73878.91</v>
      </c>
      <c r="E319" s="122">
        <f t="shared" si="10"/>
        <v>66390.45999999999</v>
      </c>
      <c r="F319" s="122">
        <f t="shared" si="10"/>
        <v>140269.37</v>
      </c>
    </row>
    <row r="320" spans="1:6" s="24" customFormat="1" ht="13.5" thickBot="1">
      <c r="A320" s="378"/>
      <c r="B320" s="378"/>
      <c r="C320" s="247" t="s">
        <v>199</v>
      </c>
      <c r="D320" s="170">
        <f t="shared" si="10"/>
        <v>20160.729999999996</v>
      </c>
      <c r="E320" s="170">
        <f t="shared" si="10"/>
        <v>8203.230000000001</v>
      </c>
      <c r="F320" s="170">
        <f t="shared" si="10"/>
        <v>28363.96</v>
      </c>
    </row>
    <row r="321" spans="1:6" s="24" customFormat="1" ht="12.75">
      <c r="A321" s="393" t="s">
        <v>192</v>
      </c>
      <c r="B321" s="393"/>
      <c r="C321" s="376"/>
      <c r="D321" s="117"/>
      <c r="E321" s="117"/>
      <c r="F321" s="117"/>
    </row>
    <row r="322" spans="1:6" s="24" customFormat="1" ht="12.75">
      <c r="A322" s="373"/>
      <c r="B322" s="377"/>
      <c r="C322" s="260" t="s">
        <v>175</v>
      </c>
      <c r="D322" s="122">
        <f aca="true" t="shared" si="11" ref="D322:F327">+D109+D248+D315</f>
        <v>1316304.43</v>
      </c>
      <c r="E322" s="122">
        <f t="shared" si="11"/>
        <v>1676294.43</v>
      </c>
      <c r="F322" s="122">
        <f t="shared" si="11"/>
        <v>2992598.86</v>
      </c>
    </row>
    <row r="323" spans="1:6" s="24" customFormat="1" ht="12.75">
      <c r="A323" s="373"/>
      <c r="B323" s="377"/>
      <c r="C323" s="261" t="s">
        <v>1</v>
      </c>
      <c r="D323" s="122">
        <f t="shared" si="11"/>
        <v>4891516.210000001</v>
      </c>
      <c r="E323" s="122">
        <f t="shared" si="11"/>
        <v>5782156.300000001</v>
      </c>
      <c r="F323" s="122">
        <f t="shared" si="11"/>
        <v>10673672.510000002</v>
      </c>
    </row>
    <row r="324" spans="1:6" s="24" customFormat="1" ht="12.75">
      <c r="A324" s="373"/>
      <c r="B324" s="377"/>
      <c r="C324" s="261" t="s">
        <v>2</v>
      </c>
      <c r="D324" s="122">
        <f t="shared" si="11"/>
        <v>5780157.96</v>
      </c>
      <c r="E324" s="122">
        <f t="shared" si="11"/>
        <v>4914276.06</v>
      </c>
      <c r="F324" s="122">
        <f t="shared" si="11"/>
        <v>10694434.019999998</v>
      </c>
    </row>
    <row r="325" spans="1:6" s="24" customFormat="1" ht="12.75">
      <c r="A325" s="373"/>
      <c r="B325" s="377"/>
      <c r="C325" s="261" t="s">
        <v>4</v>
      </c>
      <c r="D325" s="122">
        <f t="shared" si="11"/>
        <v>4505717.99</v>
      </c>
      <c r="E325" s="122">
        <f t="shared" si="11"/>
        <v>5475909.5</v>
      </c>
      <c r="F325" s="122">
        <f t="shared" si="11"/>
        <v>9981627.490000002</v>
      </c>
    </row>
    <row r="326" spans="1:6" s="3" customFormat="1" ht="12.75">
      <c r="A326" s="373"/>
      <c r="B326" s="377"/>
      <c r="C326" s="261" t="s">
        <v>3</v>
      </c>
      <c r="D326" s="122">
        <f t="shared" si="11"/>
        <v>5780157.960000001</v>
      </c>
      <c r="E326" s="122">
        <f t="shared" si="11"/>
        <v>4914276.06</v>
      </c>
      <c r="F326" s="122">
        <f t="shared" si="11"/>
        <v>10694434.02</v>
      </c>
    </row>
    <row r="327" spans="1:6" ht="13.5" thickBot="1">
      <c r="A327" s="374"/>
      <c r="B327" s="378"/>
      <c r="C327" s="262" t="s">
        <v>199</v>
      </c>
      <c r="D327" s="170">
        <f t="shared" si="11"/>
        <v>427662.68000000005</v>
      </c>
      <c r="E327" s="170">
        <f t="shared" si="11"/>
        <v>2544174.670000001</v>
      </c>
      <c r="F327" s="170">
        <f t="shared" si="11"/>
        <v>2971837.3499999996</v>
      </c>
    </row>
    <row r="328" spans="1:6" s="29" customFormat="1" ht="12.75">
      <c r="A328" s="7"/>
      <c r="B328" s="263"/>
      <c r="C328" s="259"/>
      <c r="D328" s="65"/>
      <c r="E328" s="30"/>
      <c r="F328" s="65"/>
    </row>
    <row r="329" ht="12.75">
      <c r="B329" s="263"/>
    </row>
    <row r="330" ht="12.75">
      <c r="B330" s="263"/>
    </row>
    <row r="331" ht="12.75">
      <c r="B331" s="263"/>
    </row>
    <row r="332" ht="12.75">
      <c r="B332" s="263"/>
    </row>
    <row r="333" ht="12.75">
      <c r="B333" s="263"/>
    </row>
    <row r="334" ht="12.75">
      <c r="B334" s="263"/>
    </row>
    <row r="335" ht="12.75">
      <c r="B335" s="263"/>
    </row>
    <row r="336" ht="12.75">
      <c r="B336" s="263"/>
    </row>
    <row r="337" ht="12.75">
      <c r="B337" s="263"/>
    </row>
    <row r="338" ht="12.75">
      <c r="B338" s="263"/>
    </row>
    <row r="339" ht="12.75">
      <c r="B339" s="263"/>
    </row>
    <row r="340" ht="12.75">
      <c r="B340" s="263"/>
    </row>
    <row r="341" ht="12.75">
      <c r="B341" s="263"/>
    </row>
    <row r="342" ht="12.75">
      <c r="B342" s="263"/>
    </row>
    <row r="343" ht="12.75">
      <c r="B343" s="263"/>
    </row>
    <row r="344" ht="12.75">
      <c r="B344" s="263"/>
    </row>
    <row r="345" ht="12.75">
      <c r="B345" s="263"/>
    </row>
    <row r="346" ht="12.75">
      <c r="B346" s="263"/>
    </row>
    <row r="347" ht="12.75">
      <c r="B347" s="263"/>
    </row>
    <row r="348" ht="12.75">
      <c r="B348" s="263"/>
    </row>
    <row r="349" ht="12.75">
      <c r="B349" s="263"/>
    </row>
    <row r="350" ht="12.75">
      <c r="B350" s="263"/>
    </row>
    <row r="351" ht="12.75">
      <c r="B351" s="263"/>
    </row>
    <row r="352" ht="12.75">
      <c r="B352" s="263"/>
    </row>
    <row r="353" ht="12.75">
      <c r="B353" s="263"/>
    </row>
    <row r="354" ht="12.75">
      <c r="B354" s="263"/>
    </row>
    <row r="355" ht="12.75">
      <c r="B355" s="263"/>
    </row>
    <row r="356" ht="12.75">
      <c r="B356" s="263"/>
    </row>
    <row r="357" ht="12.75">
      <c r="B357" s="263"/>
    </row>
    <row r="358" ht="12.75">
      <c r="B358" s="263"/>
    </row>
    <row r="359" ht="12.75">
      <c r="B359" s="263"/>
    </row>
    <row r="360" ht="12.75">
      <c r="B360" s="263"/>
    </row>
    <row r="361" ht="12.75">
      <c r="B361" s="263"/>
    </row>
    <row r="362" ht="12.75">
      <c r="B362" s="263"/>
    </row>
    <row r="363" ht="12.75">
      <c r="B363" s="263"/>
    </row>
    <row r="364" ht="12.75">
      <c r="B364" s="263"/>
    </row>
    <row r="365" ht="12.75">
      <c r="B365" s="263"/>
    </row>
    <row r="366" ht="12.75">
      <c r="B366" s="263"/>
    </row>
    <row r="367" ht="12.75">
      <c r="B367" s="263"/>
    </row>
    <row r="368" ht="12.75">
      <c r="B368" s="263"/>
    </row>
    <row r="369" ht="12.75">
      <c r="B369" s="263"/>
    </row>
    <row r="370" ht="12.75">
      <c r="B370" s="263"/>
    </row>
    <row r="371" ht="12.75">
      <c r="B371" s="263"/>
    </row>
    <row r="372" ht="12.75">
      <c r="B372" s="263"/>
    </row>
    <row r="373" ht="12.75">
      <c r="B373" s="263"/>
    </row>
    <row r="374" ht="12.75">
      <c r="B374" s="263"/>
    </row>
    <row r="375" ht="12.75">
      <c r="B375" s="263"/>
    </row>
    <row r="376" ht="12.75">
      <c r="B376" s="263"/>
    </row>
    <row r="377" ht="12.75">
      <c r="B377" s="263"/>
    </row>
    <row r="378" ht="12.75">
      <c r="B378" s="263"/>
    </row>
    <row r="379" ht="12.75">
      <c r="B379" s="263"/>
    </row>
    <row r="380" ht="12.75">
      <c r="B380" s="263"/>
    </row>
    <row r="381" ht="12.75">
      <c r="B381" s="263"/>
    </row>
    <row r="382" ht="12.75">
      <c r="B382" s="263"/>
    </row>
    <row r="383" ht="12.75">
      <c r="B383" s="263"/>
    </row>
    <row r="384" ht="12.75">
      <c r="B384" s="263"/>
    </row>
    <row r="385" ht="12.75">
      <c r="B385" s="263"/>
    </row>
    <row r="386" ht="12.75">
      <c r="B386" s="263"/>
    </row>
    <row r="387" ht="12.75">
      <c r="B387" s="263"/>
    </row>
    <row r="388" ht="12.75">
      <c r="B388" s="263"/>
    </row>
    <row r="389" ht="12.75">
      <c r="B389" s="263"/>
    </row>
    <row r="390" ht="12.75">
      <c r="B390" s="263"/>
    </row>
    <row r="391" ht="12.75">
      <c r="B391" s="263"/>
    </row>
    <row r="392" ht="12.75">
      <c r="B392" s="263"/>
    </row>
    <row r="393" ht="12.75">
      <c r="B393" s="263"/>
    </row>
    <row r="394" ht="12.75">
      <c r="B394" s="263"/>
    </row>
    <row r="395" ht="12.75">
      <c r="B395" s="263"/>
    </row>
    <row r="396" ht="12.75">
      <c r="B396" s="263"/>
    </row>
    <row r="397" ht="12.75">
      <c r="B397" s="263"/>
    </row>
    <row r="398" ht="12.75">
      <c r="B398" s="263"/>
    </row>
    <row r="399" ht="12.75">
      <c r="B399" s="263"/>
    </row>
    <row r="400" ht="12.75">
      <c r="B400" s="263"/>
    </row>
    <row r="401" ht="12.75">
      <c r="B401" s="263"/>
    </row>
    <row r="402" ht="12.75">
      <c r="B402" s="263"/>
    </row>
    <row r="403" ht="12.75">
      <c r="B403" s="263"/>
    </row>
    <row r="404" ht="12.75">
      <c r="B404" s="263"/>
    </row>
    <row r="405" ht="12.75">
      <c r="B405" s="263"/>
    </row>
    <row r="406" ht="12.75">
      <c r="B406" s="263"/>
    </row>
    <row r="407" ht="12.75">
      <c r="B407" s="263"/>
    </row>
    <row r="408" ht="12.75">
      <c r="B408" s="263"/>
    </row>
    <row r="409" ht="12.75">
      <c r="B409" s="263"/>
    </row>
    <row r="410" ht="12.75">
      <c r="B410" s="263"/>
    </row>
    <row r="411" ht="12.75">
      <c r="B411" s="263"/>
    </row>
    <row r="412" ht="12.75">
      <c r="B412" s="263"/>
    </row>
    <row r="413" ht="12.75">
      <c r="B413" s="263"/>
    </row>
    <row r="414" ht="12.75">
      <c r="B414" s="263"/>
    </row>
    <row r="415" ht="12.75">
      <c r="B415" s="263"/>
    </row>
    <row r="416" ht="12.75">
      <c r="B416" s="263"/>
    </row>
    <row r="417" ht="12.75">
      <c r="B417" s="263"/>
    </row>
    <row r="418" ht="12.75">
      <c r="B418" s="263"/>
    </row>
    <row r="419" ht="12.75">
      <c r="B419" s="263"/>
    </row>
    <row r="420" ht="12.75">
      <c r="B420" s="263"/>
    </row>
    <row r="421" ht="12.75">
      <c r="B421" s="263"/>
    </row>
    <row r="422" ht="12.75">
      <c r="B422" s="263"/>
    </row>
    <row r="423" ht="12.75">
      <c r="B423" s="263"/>
    </row>
    <row r="424" ht="12.75">
      <c r="B424" s="263"/>
    </row>
    <row r="425" ht="12.75">
      <c r="B425" s="263"/>
    </row>
    <row r="426" ht="12.75">
      <c r="B426" s="263"/>
    </row>
    <row r="427" ht="12.75">
      <c r="B427" s="263"/>
    </row>
    <row r="428" ht="12.75">
      <c r="B428" s="263"/>
    </row>
    <row r="429" ht="12.75">
      <c r="B429" s="263"/>
    </row>
    <row r="430" ht="12.75">
      <c r="B430" s="263"/>
    </row>
    <row r="431" ht="12.75">
      <c r="B431" s="263"/>
    </row>
    <row r="432" ht="12.75">
      <c r="B432" s="263"/>
    </row>
    <row r="433" ht="12.75">
      <c r="B433" s="263"/>
    </row>
    <row r="434" ht="12.75">
      <c r="B434" s="263"/>
    </row>
    <row r="435" ht="12.75">
      <c r="B435" s="263"/>
    </row>
    <row r="436" ht="12.75">
      <c r="B436" s="263"/>
    </row>
    <row r="437" ht="12.75">
      <c r="B437" s="263"/>
    </row>
    <row r="438" ht="12.75">
      <c r="B438" s="263"/>
    </row>
    <row r="439" ht="12.75">
      <c r="B439" s="263"/>
    </row>
    <row r="440" ht="12.75">
      <c r="B440" s="263"/>
    </row>
    <row r="441" ht="12.75">
      <c r="B441" s="263"/>
    </row>
    <row r="442" ht="12.75">
      <c r="B442" s="263"/>
    </row>
    <row r="443" ht="12.75">
      <c r="B443" s="263"/>
    </row>
    <row r="444" ht="12.75">
      <c r="B444" s="263"/>
    </row>
    <row r="445" ht="12.75">
      <c r="B445" s="263"/>
    </row>
    <row r="446" ht="12.75">
      <c r="B446" s="263"/>
    </row>
    <row r="447" ht="12.75">
      <c r="B447" s="263"/>
    </row>
    <row r="448" ht="12.75">
      <c r="B448" s="263"/>
    </row>
    <row r="449" ht="12.75">
      <c r="B449" s="263"/>
    </row>
    <row r="450" ht="12.75">
      <c r="B450" s="263"/>
    </row>
    <row r="451" ht="12.75">
      <c r="B451" s="263"/>
    </row>
    <row r="452" ht="12.75">
      <c r="B452" s="263"/>
    </row>
    <row r="453" ht="12.75">
      <c r="B453" s="263"/>
    </row>
    <row r="454" ht="12.75">
      <c r="B454" s="263"/>
    </row>
    <row r="455" ht="12.75">
      <c r="B455" s="263"/>
    </row>
    <row r="456" ht="12.75">
      <c r="B456" s="263"/>
    </row>
    <row r="457" ht="12.75">
      <c r="B457" s="263"/>
    </row>
    <row r="458" ht="12.75">
      <c r="B458" s="263"/>
    </row>
    <row r="459" ht="12.75">
      <c r="B459" s="263"/>
    </row>
    <row r="460" ht="12.75">
      <c r="B460" s="263"/>
    </row>
    <row r="461" ht="12.75">
      <c r="B461" s="263"/>
    </row>
    <row r="462" ht="12.75">
      <c r="B462" s="263"/>
    </row>
    <row r="463" ht="12.75">
      <c r="B463" s="263"/>
    </row>
    <row r="464" ht="12.75">
      <c r="B464" s="263"/>
    </row>
    <row r="465" ht="12.75">
      <c r="B465" s="263"/>
    </row>
    <row r="466" ht="12.75">
      <c r="B466" s="263"/>
    </row>
    <row r="467" ht="12.75">
      <c r="B467" s="263"/>
    </row>
    <row r="468" ht="12.75">
      <c r="B468" s="263"/>
    </row>
    <row r="469" ht="12.75">
      <c r="B469" s="263"/>
    </row>
    <row r="470" ht="12.75">
      <c r="B470" s="263"/>
    </row>
    <row r="471" ht="12.75">
      <c r="B471" s="263"/>
    </row>
    <row r="472" ht="12.75">
      <c r="B472" s="263"/>
    </row>
    <row r="473" ht="12.75">
      <c r="B473" s="263"/>
    </row>
    <row r="474" ht="12.75">
      <c r="B474" s="263"/>
    </row>
    <row r="475" ht="12.75">
      <c r="B475" s="263"/>
    </row>
    <row r="476" ht="12.75">
      <c r="B476" s="263"/>
    </row>
    <row r="477" ht="12.75">
      <c r="B477" s="263"/>
    </row>
    <row r="478" ht="12.75">
      <c r="B478" s="263"/>
    </row>
    <row r="479" ht="12.75">
      <c r="B479" s="263"/>
    </row>
    <row r="480" ht="12.75">
      <c r="B480" s="263"/>
    </row>
    <row r="481" ht="12.75">
      <c r="B481" s="263"/>
    </row>
    <row r="482" ht="12.75">
      <c r="B482" s="263"/>
    </row>
    <row r="483" ht="12.75">
      <c r="B483" s="263"/>
    </row>
    <row r="484" ht="12.75">
      <c r="B484" s="263"/>
    </row>
    <row r="485" ht="12.75">
      <c r="B485" s="263"/>
    </row>
    <row r="486" ht="12.75">
      <c r="B486" s="263"/>
    </row>
    <row r="487" ht="12.75">
      <c r="B487" s="263"/>
    </row>
    <row r="488" ht="12.75">
      <c r="B488" s="263"/>
    </row>
    <row r="489" ht="12.75">
      <c r="B489" s="263"/>
    </row>
    <row r="490" ht="12.75">
      <c r="B490" s="263"/>
    </row>
    <row r="491" ht="12.75">
      <c r="B491" s="263"/>
    </row>
    <row r="492" ht="12.75">
      <c r="B492" s="263"/>
    </row>
    <row r="493" ht="12.75">
      <c r="B493" s="263"/>
    </row>
    <row r="494" ht="12.75">
      <c r="B494" s="263"/>
    </row>
    <row r="495" ht="12.75">
      <c r="B495" s="263"/>
    </row>
    <row r="496" ht="12.75">
      <c r="B496" s="263"/>
    </row>
    <row r="497" ht="12.75">
      <c r="B497" s="263"/>
    </row>
    <row r="498" ht="12.75">
      <c r="B498" s="263"/>
    </row>
    <row r="499" ht="12.75">
      <c r="B499" s="263"/>
    </row>
    <row r="500" ht="12.75">
      <c r="B500" s="263"/>
    </row>
    <row r="501" ht="12.75">
      <c r="B501" s="263"/>
    </row>
    <row r="502" ht="12.75">
      <c r="B502" s="263"/>
    </row>
    <row r="503" ht="12.75">
      <c r="B503" s="263"/>
    </row>
    <row r="504" ht="12.75">
      <c r="B504" s="263"/>
    </row>
    <row r="505" ht="12.75">
      <c r="B505" s="263"/>
    </row>
    <row r="506" ht="12.75">
      <c r="B506" s="263"/>
    </row>
    <row r="507" ht="12.75">
      <c r="B507" s="263"/>
    </row>
    <row r="508" ht="12.75">
      <c r="B508" s="263"/>
    </row>
    <row r="509" ht="12.75">
      <c r="B509" s="263"/>
    </row>
    <row r="510" ht="12.75">
      <c r="B510" s="263"/>
    </row>
    <row r="511" ht="12.75">
      <c r="B511" s="263"/>
    </row>
    <row r="512" ht="12.75">
      <c r="B512" s="263"/>
    </row>
    <row r="513" ht="12.75">
      <c r="B513" s="263"/>
    </row>
    <row r="514" ht="12.75">
      <c r="B514" s="263"/>
    </row>
    <row r="515" ht="12.75">
      <c r="B515" s="263"/>
    </row>
    <row r="516" ht="12.75">
      <c r="B516" s="263"/>
    </row>
    <row r="517" ht="12.75">
      <c r="B517" s="263"/>
    </row>
    <row r="518" ht="12.75">
      <c r="B518" s="263"/>
    </row>
    <row r="519" ht="12.75">
      <c r="B519" s="263"/>
    </row>
    <row r="520" ht="12.75">
      <c r="B520" s="263"/>
    </row>
    <row r="521" ht="12.75">
      <c r="B521" s="263"/>
    </row>
    <row r="522" ht="12.75">
      <c r="B522" s="263"/>
    </row>
    <row r="523" ht="12.75">
      <c r="B523" s="263"/>
    </row>
    <row r="524" ht="12.75">
      <c r="B524" s="263"/>
    </row>
    <row r="525" ht="12.75">
      <c r="B525" s="263"/>
    </row>
    <row r="526" ht="12.75">
      <c r="B526" s="263"/>
    </row>
    <row r="527" ht="12.75">
      <c r="B527" s="263"/>
    </row>
    <row r="528" ht="12.75">
      <c r="B528" s="263"/>
    </row>
    <row r="529" ht="12.75">
      <c r="B529" s="263"/>
    </row>
    <row r="530" ht="12.75">
      <c r="B530" s="263"/>
    </row>
    <row r="531" ht="12.75">
      <c r="B531" s="263"/>
    </row>
    <row r="532" ht="12.75">
      <c r="B532" s="263"/>
    </row>
    <row r="533" ht="12.75">
      <c r="B533" s="263"/>
    </row>
    <row r="534" ht="12.75">
      <c r="B534" s="263"/>
    </row>
    <row r="535" ht="12.75">
      <c r="B535" s="263"/>
    </row>
    <row r="536" ht="12.75">
      <c r="B536" s="263"/>
    </row>
    <row r="537" ht="12.75">
      <c r="B537" s="263"/>
    </row>
    <row r="538" ht="12.75">
      <c r="B538" s="263"/>
    </row>
    <row r="539" ht="12.75">
      <c r="B539" s="263"/>
    </row>
    <row r="540" ht="12.75">
      <c r="B540" s="263"/>
    </row>
    <row r="541" ht="12.75">
      <c r="B541" s="263"/>
    </row>
    <row r="542" ht="12.75">
      <c r="B542" s="263"/>
    </row>
    <row r="543" ht="12.75">
      <c r="B543" s="263"/>
    </row>
    <row r="544" ht="12.75">
      <c r="B544" s="263"/>
    </row>
    <row r="545" ht="12.75">
      <c r="B545" s="263"/>
    </row>
    <row r="546" ht="12.75">
      <c r="B546" s="263"/>
    </row>
    <row r="547" ht="12.75">
      <c r="B547" s="263"/>
    </row>
    <row r="548" ht="12.75">
      <c r="B548" s="263"/>
    </row>
    <row r="549" ht="12.75">
      <c r="B549" s="263"/>
    </row>
    <row r="550" ht="12.75">
      <c r="B550" s="263"/>
    </row>
    <row r="551" ht="12.75">
      <c r="B551" s="263"/>
    </row>
    <row r="552" ht="12.75">
      <c r="B552" s="263"/>
    </row>
    <row r="553" ht="12.75">
      <c r="B553" s="263"/>
    </row>
    <row r="554" ht="12.75">
      <c r="B554" s="263"/>
    </row>
    <row r="555" ht="12.75">
      <c r="B555" s="263"/>
    </row>
    <row r="556" ht="12.75">
      <c r="B556" s="263"/>
    </row>
    <row r="557" ht="12.75">
      <c r="B557" s="263"/>
    </row>
    <row r="558" ht="12.75">
      <c r="B558" s="263"/>
    </row>
    <row r="559" ht="12.75">
      <c r="B559" s="263"/>
    </row>
    <row r="560" ht="12.75">
      <c r="B560" s="263"/>
    </row>
    <row r="561" ht="12.75">
      <c r="B561" s="263"/>
    </row>
    <row r="562" ht="12.75">
      <c r="B562" s="263"/>
    </row>
    <row r="563" ht="12.75">
      <c r="B563" s="263"/>
    </row>
    <row r="564" ht="12.75">
      <c r="B564" s="263"/>
    </row>
    <row r="565" ht="12.75">
      <c r="B565" s="263"/>
    </row>
    <row r="566" ht="12.75">
      <c r="B566" s="263"/>
    </row>
    <row r="567" ht="12.75">
      <c r="B567" s="263"/>
    </row>
    <row r="568" ht="12.75">
      <c r="B568" s="263"/>
    </row>
    <row r="569" ht="12.75">
      <c r="B569" s="263"/>
    </row>
    <row r="570" ht="12.75">
      <c r="B570" s="263"/>
    </row>
    <row r="571" ht="12.75">
      <c r="B571" s="263"/>
    </row>
    <row r="572" ht="12.75">
      <c r="B572" s="263"/>
    </row>
    <row r="573" ht="12.75">
      <c r="B573" s="263"/>
    </row>
    <row r="574" ht="12.75">
      <c r="B574" s="263"/>
    </row>
    <row r="575" ht="12.75">
      <c r="B575" s="263"/>
    </row>
    <row r="576" ht="12.75">
      <c r="B576" s="263"/>
    </row>
    <row r="577" ht="12.75">
      <c r="B577" s="263"/>
    </row>
    <row r="578" ht="12.75">
      <c r="B578" s="263"/>
    </row>
    <row r="579" ht="12.75">
      <c r="B579" s="263"/>
    </row>
    <row r="580" ht="12.75">
      <c r="B580" s="263"/>
    </row>
    <row r="581" ht="12.75">
      <c r="B581" s="263"/>
    </row>
    <row r="582" ht="12.75">
      <c r="B582" s="263"/>
    </row>
    <row r="583" ht="12.75">
      <c r="B583" s="263"/>
    </row>
    <row r="584" ht="12.75">
      <c r="B584" s="263"/>
    </row>
    <row r="585" ht="12.75">
      <c r="B585" s="263"/>
    </row>
    <row r="586" ht="12.75">
      <c r="B586" s="263"/>
    </row>
    <row r="587" ht="12.75">
      <c r="B587" s="263"/>
    </row>
    <row r="588" ht="12.75">
      <c r="B588" s="263"/>
    </row>
    <row r="589" ht="12.75">
      <c r="B589" s="263"/>
    </row>
    <row r="590" ht="12.75">
      <c r="B590" s="263"/>
    </row>
    <row r="591" ht="12.75">
      <c r="B591" s="263"/>
    </row>
    <row r="592" ht="12.75">
      <c r="B592" s="263"/>
    </row>
    <row r="593" ht="12.75">
      <c r="B593" s="263"/>
    </row>
    <row r="594" ht="12.75">
      <c r="B594" s="263"/>
    </row>
    <row r="595" ht="12.75">
      <c r="B595" s="263"/>
    </row>
    <row r="596" ht="12.75">
      <c r="B596" s="263"/>
    </row>
    <row r="597" ht="12.75">
      <c r="B597" s="263"/>
    </row>
    <row r="598" ht="12.75">
      <c r="B598" s="263"/>
    </row>
    <row r="599" ht="12.75">
      <c r="B599" s="263"/>
    </row>
    <row r="600" ht="12.75">
      <c r="B600" s="263"/>
    </row>
    <row r="601" ht="12.75">
      <c r="B601" s="263"/>
    </row>
    <row r="602" ht="12.75">
      <c r="B602" s="263"/>
    </row>
    <row r="603" ht="12.75">
      <c r="B603" s="263"/>
    </row>
    <row r="604" ht="12.75">
      <c r="B604" s="263"/>
    </row>
    <row r="605" ht="12.75">
      <c r="B605" s="263"/>
    </row>
    <row r="606" ht="12.75">
      <c r="B606" s="263"/>
    </row>
    <row r="607" ht="12.75">
      <c r="B607" s="263"/>
    </row>
    <row r="608" ht="12.75">
      <c r="B608" s="263"/>
    </row>
    <row r="609" ht="12.75">
      <c r="B609" s="263"/>
    </row>
    <row r="610" ht="12.75">
      <c r="B610" s="263"/>
    </row>
    <row r="611" ht="12.75">
      <c r="B611" s="263"/>
    </row>
    <row r="612" ht="12.75">
      <c r="B612" s="263"/>
    </row>
    <row r="613" ht="12.75">
      <c r="B613" s="263"/>
    </row>
    <row r="614" ht="12.75">
      <c r="B614" s="263"/>
    </row>
    <row r="615" ht="12.75">
      <c r="B615" s="263"/>
    </row>
    <row r="616" ht="12.75">
      <c r="B616" s="263"/>
    </row>
    <row r="617" ht="12.75">
      <c r="B617" s="263"/>
    </row>
    <row r="618" ht="12.75">
      <c r="B618" s="263"/>
    </row>
    <row r="619" ht="12.75">
      <c r="B619" s="263"/>
    </row>
    <row r="620" ht="12.75">
      <c r="B620" s="263"/>
    </row>
    <row r="621" ht="12.75">
      <c r="B621" s="263"/>
    </row>
    <row r="622" ht="12.75">
      <c r="B622" s="263"/>
    </row>
    <row r="623" ht="12.75">
      <c r="B623" s="263"/>
    </row>
    <row r="624" ht="12.75">
      <c r="B624" s="263"/>
    </row>
    <row r="625" ht="12.75">
      <c r="B625" s="263"/>
    </row>
    <row r="626" ht="12.75">
      <c r="B626" s="263"/>
    </row>
    <row r="627" ht="12.75">
      <c r="B627" s="263"/>
    </row>
    <row r="628" ht="12.75">
      <c r="B628" s="263"/>
    </row>
    <row r="629" ht="12.75">
      <c r="B629" s="263"/>
    </row>
    <row r="630" ht="12.75">
      <c r="B630" s="263"/>
    </row>
    <row r="631" ht="12.75">
      <c r="B631" s="263"/>
    </row>
    <row r="632" ht="12.75">
      <c r="B632" s="263"/>
    </row>
    <row r="633" ht="12.75">
      <c r="B633" s="263"/>
    </row>
    <row r="634" ht="12.75">
      <c r="B634" s="263"/>
    </row>
    <row r="635" ht="12.75">
      <c r="B635" s="263"/>
    </row>
    <row r="636" ht="12.75">
      <c r="B636" s="263"/>
    </row>
    <row r="637" ht="12.75">
      <c r="B637" s="263"/>
    </row>
    <row r="638" ht="12.75">
      <c r="B638" s="263"/>
    </row>
    <row r="639" ht="12.75">
      <c r="B639" s="263"/>
    </row>
    <row r="640" ht="12.75">
      <c r="B640" s="263"/>
    </row>
    <row r="641" ht="12.75">
      <c r="B641" s="263"/>
    </row>
    <row r="642" ht="12.75">
      <c r="B642" s="263"/>
    </row>
    <row r="643" ht="12.75">
      <c r="B643" s="263"/>
    </row>
    <row r="644" ht="12.75">
      <c r="B644" s="263"/>
    </row>
    <row r="645" ht="12.75">
      <c r="B645" s="263"/>
    </row>
    <row r="646" ht="12.75">
      <c r="B646" s="263"/>
    </row>
    <row r="647" ht="12.75">
      <c r="B647" s="263"/>
    </row>
    <row r="648" ht="12.75">
      <c r="B648" s="263"/>
    </row>
    <row r="649" ht="12.75">
      <c r="B649" s="263"/>
    </row>
    <row r="650" ht="12.75">
      <c r="B650" s="263"/>
    </row>
    <row r="651" ht="12.75">
      <c r="B651" s="263"/>
    </row>
    <row r="652" ht="12.75">
      <c r="B652" s="263"/>
    </row>
    <row r="653" ht="12.75">
      <c r="B653" s="263"/>
    </row>
    <row r="654" ht="12.75">
      <c r="B654" s="263"/>
    </row>
    <row r="655" ht="12.75">
      <c r="B655" s="263"/>
    </row>
    <row r="656" ht="12.75">
      <c r="B656" s="263"/>
    </row>
    <row r="657" ht="12.75">
      <c r="B657" s="263"/>
    </row>
    <row r="658" ht="12.75">
      <c r="B658" s="263"/>
    </row>
    <row r="659" ht="12.75">
      <c r="B659" s="263"/>
    </row>
    <row r="660" ht="12.75">
      <c r="B660" s="263"/>
    </row>
    <row r="661" ht="12.75">
      <c r="B661" s="263"/>
    </row>
    <row r="662" ht="12.75">
      <c r="B662" s="263"/>
    </row>
    <row r="663" ht="12.75">
      <c r="B663" s="263"/>
    </row>
    <row r="664" ht="12.75">
      <c r="B664" s="263"/>
    </row>
    <row r="665" ht="12.75">
      <c r="B665" s="263"/>
    </row>
    <row r="666" ht="12.75">
      <c r="B666" s="263"/>
    </row>
    <row r="667" ht="12.75">
      <c r="B667" s="263"/>
    </row>
    <row r="668" ht="12.75">
      <c r="B668" s="263"/>
    </row>
    <row r="669" ht="12.75">
      <c r="B669" s="263"/>
    </row>
    <row r="670" ht="12.75">
      <c r="B670" s="263"/>
    </row>
    <row r="671" ht="12.75">
      <c r="B671" s="263"/>
    </row>
    <row r="672" ht="12.75">
      <c r="B672" s="263"/>
    </row>
    <row r="673" ht="12.75">
      <c r="B673" s="263"/>
    </row>
    <row r="674" ht="12.75">
      <c r="B674" s="263"/>
    </row>
    <row r="675" ht="12.75">
      <c r="B675" s="263"/>
    </row>
    <row r="676" ht="12.75">
      <c r="B676" s="263"/>
    </row>
    <row r="677" ht="12.75">
      <c r="B677" s="263"/>
    </row>
    <row r="678" ht="12.75">
      <c r="B678" s="263"/>
    </row>
    <row r="679" ht="12.75">
      <c r="B679" s="263"/>
    </row>
    <row r="680" ht="12.75">
      <c r="B680" s="263"/>
    </row>
    <row r="681" ht="12.75">
      <c r="B681" s="263"/>
    </row>
    <row r="682" ht="12.75">
      <c r="B682" s="263"/>
    </row>
    <row r="683" ht="12.75">
      <c r="B683" s="263"/>
    </row>
    <row r="684" ht="12.75">
      <c r="B684" s="263"/>
    </row>
    <row r="685" ht="12.75">
      <c r="B685" s="263"/>
    </row>
    <row r="686" ht="12.75">
      <c r="B686" s="263"/>
    </row>
    <row r="687" ht="12.75">
      <c r="B687" s="263"/>
    </row>
    <row r="688" ht="12.75">
      <c r="B688" s="263"/>
    </row>
    <row r="689" ht="12.75">
      <c r="B689" s="263"/>
    </row>
    <row r="690" ht="12.75">
      <c r="B690" s="263"/>
    </row>
    <row r="691" ht="12.75">
      <c r="B691" s="263"/>
    </row>
    <row r="692" ht="12.75">
      <c r="B692" s="263"/>
    </row>
    <row r="693" ht="12.75">
      <c r="B693" s="263"/>
    </row>
    <row r="694" ht="12.75">
      <c r="B694" s="263"/>
    </row>
    <row r="695" ht="12.75">
      <c r="B695" s="263"/>
    </row>
    <row r="696" ht="12.75">
      <c r="B696" s="263"/>
    </row>
    <row r="697" ht="12.75">
      <c r="B697" s="263"/>
    </row>
    <row r="698" ht="12.75">
      <c r="B698" s="263"/>
    </row>
    <row r="699" ht="12.75">
      <c r="B699" s="263"/>
    </row>
    <row r="700" ht="12.75">
      <c r="B700" s="263"/>
    </row>
    <row r="701" ht="12.75">
      <c r="B701" s="263"/>
    </row>
    <row r="702" ht="12.75">
      <c r="B702" s="263"/>
    </row>
    <row r="703" ht="12.75">
      <c r="B703" s="263"/>
    </row>
    <row r="704" ht="12.75">
      <c r="B704" s="263"/>
    </row>
    <row r="705" ht="12.75">
      <c r="B705" s="263"/>
    </row>
    <row r="706" ht="12.75">
      <c r="B706" s="263"/>
    </row>
    <row r="707" ht="12.75">
      <c r="B707" s="263"/>
    </row>
    <row r="708" ht="12.75">
      <c r="B708" s="263"/>
    </row>
    <row r="709" ht="12.75">
      <c r="B709" s="263"/>
    </row>
    <row r="710" ht="12.75">
      <c r="B710" s="263"/>
    </row>
    <row r="711" ht="12.75">
      <c r="B711" s="263"/>
    </row>
    <row r="712" ht="12.75">
      <c r="B712" s="263"/>
    </row>
    <row r="713" ht="12.75">
      <c r="B713" s="263"/>
    </row>
    <row r="714" ht="12.75">
      <c r="B714" s="263"/>
    </row>
    <row r="715" ht="12.75">
      <c r="B715" s="263"/>
    </row>
    <row r="716" ht="12.75">
      <c r="B716" s="263"/>
    </row>
    <row r="717" ht="12.75">
      <c r="B717" s="263"/>
    </row>
    <row r="718" ht="12.75">
      <c r="B718" s="263"/>
    </row>
    <row r="719" ht="12.75">
      <c r="B719" s="263"/>
    </row>
    <row r="720" ht="12.75">
      <c r="B720" s="263"/>
    </row>
    <row r="721" ht="12.75">
      <c r="B721" s="263"/>
    </row>
    <row r="722" ht="12.75">
      <c r="B722" s="263"/>
    </row>
    <row r="723" ht="12.75">
      <c r="B723" s="263"/>
    </row>
    <row r="724" ht="12.75">
      <c r="B724" s="263"/>
    </row>
    <row r="725" ht="12.75">
      <c r="B725" s="263"/>
    </row>
    <row r="726" ht="12.75">
      <c r="B726" s="263"/>
    </row>
    <row r="727" ht="12.75">
      <c r="B727" s="263"/>
    </row>
    <row r="728" ht="12.75">
      <c r="B728" s="263"/>
    </row>
    <row r="729" ht="12.75">
      <c r="B729" s="263"/>
    </row>
    <row r="730" ht="12.75">
      <c r="B730" s="263"/>
    </row>
    <row r="731" ht="12.75">
      <c r="B731" s="263"/>
    </row>
    <row r="732" ht="12.75">
      <c r="B732" s="263"/>
    </row>
    <row r="733" ht="12.75">
      <c r="B733" s="263"/>
    </row>
    <row r="734" ht="12.75">
      <c r="B734" s="263"/>
    </row>
    <row r="735" ht="12.75">
      <c r="B735" s="263"/>
    </row>
    <row r="736" ht="12.75">
      <c r="B736" s="263"/>
    </row>
    <row r="737" ht="12.75">
      <c r="B737" s="263"/>
    </row>
    <row r="738" ht="12.75">
      <c r="B738" s="263"/>
    </row>
    <row r="739" ht="12.75">
      <c r="B739" s="263"/>
    </row>
    <row r="740" ht="12.75">
      <c r="B740" s="263"/>
    </row>
    <row r="741" ht="12.75">
      <c r="B741" s="263"/>
    </row>
    <row r="742" ht="12.75">
      <c r="B742" s="263"/>
    </row>
    <row r="743" ht="12.75">
      <c r="B743" s="263"/>
    </row>
    <row r="744" ht="12.75">
      <c r="B744" s="263"/>
    </row>
    <row r="745" ht="12.75">
      <c r="B745" s="263"/>
    </row>
    <row r="746" ht="12.75">
      <c r="B746" s="263"/>
    </row>
    <row r="747" ht="12.75">
      <c r="B747" s="263"/>
    </row>
    <row r="748" ht="12.75">
      <c r="B748" s="263"/>
    </row>
    <row r="749" ht="12.75">
      <c r="B749" s="263"/>
    </row>
    <row r="750" ht="12.75">
      <c r="B750" s="263"/>
    </row>
    <row r="751" ht="12.75">
      <c r="B751" s="263"/>
    </row>
    <row r="752" ht="12.75">
      <c r="B752" s="263"/>
    </row>
    <row r="753" ht="12.75">
      <c r="B753" s="263"/>
    </row>
    <row r="754" ht="12.75">
      <c r="B754" s="263"/>
    </row>
    <row r="755" ht="12.75">
      <c r="B755" s="263"/>
    </row>
    <row r="756" ht="12.75">
      <c r="B756" s="263"/>
    </row>
    <row r="757" ht="12.75">
      <c r="B757" s="263"/>
    </row>
    <row r="758" ht="12.75">
      <c r="B758" s="263"/>
    </row>
    <row r="759" ht="12.75">
      <c r="B759" s="263"/>
    </row>
    <row r="760" ht="12.75">
      <c r="B760" s="263"/>
    </row>
    <row r="761" ht="12.75">
      <c r="B761" s="263"/>
    </row>
    <row r="762" ht="12.75">
      <c r="B762" s="263"/>
    </row>
    <row r="763" ht="12.75">
      <c r="B763" s="263"/>
    </row>
    <row r="764" ht="12.75">
      <c r="B764" s="263"/>
    </row>
    <row r="765" ht="12.75">
      <c r="B765" s="263"/>
    </row>
    <row r="766" ht="12.75">
      <c r="B766" s="263"/>
    </row>
    <row r="767" ht="12.75">
      <c r="B767" s="263"/>
    </row>
    <row r="768" ht="12.75">
      <c r="B768" s="263"/>
    </row>
    <row r="769" ht="12.75">
      <c r="B769" s="263"/>
    </row>
    <row r="770" ht="12.75">
      <c r="B770" s="263"/>
    </row>
    <row r="771" ht="12.75">
      <c r="B771" s="263"/>
    </row>
    <row r="772" ht="12.75">
      <c r="B772" s="263"/>
    </row>
    <row r="773" ht="12.75">
      <c r="B773" s="263"/>
    </row>
    <row r="774" ht="12.75">
      <c r="B774" s="263"/>
    </row>
    <row r="775" ht="12.75">
      <c r="B775" s="263"/>
    </row>
    <row r="776" ht="12.75">
      <c r="B776" s="263"/>
    </row>
    <row r="777" ht="12.75">
      <c r="B777" s="263"/>
    </row>
    <row r="778" ht="12.75">
      <c r="B778" s="263"/>
    </row>
    <row r="779" ht="12.75">
      <c r="B779" s="263"/>
    </row>
    <row r="780" ht="12.75">
      <c r="B780" s="263"/>
    </row>
    <row r="781" ht="12.75">
      <c r="B781" s="263"/>
    </row>
    <row r="782" ht="12.75">
      <c r="B782" s="263"/>
    </row>
    <row r="783" ht="12.75">
      <c r="B783" s="263"/>
    </row>
    <row r="784" ht="12.75">
      <c r="B784" s="263"/>
    </row>
    <row r="785" ht="12.75">
      <c r="B785" s="263"/>
    </row>
    <row r="786" ht="12.75">
      <c r="B786" s="263"/>
    </row>
    <row r="787" ht="12.75">
      <c r="B787" s="263"/>
    </row>
    <row r="788" ht="12.75">
      <c r="B788" s="263"/>
    </row>
    <row r="789" ht="12.75">
      <c r="B789" s="263"/>
    </row>
    <row r="790" ht="12.75">
      <c r="B790" s="263"/>
    </row>
    <row r="791" ht="12.75">
      <c r="B791" s="263"/>
    </row>
    <row r="792" ht="12.75">
      <c r="B792" s="263"/>
    </row>
    <row r="793" ht="12.75">
      <c r="B793" s="263"/>
    </row>
    <row r="794" ht="12.75">
      <c r="B794" s="263"/>
    </row>
    <row r="795" ht="12.75">
      <c r="B795" s="263"/>
    </row>
    <row r="796" ht="12.75">
      <c r="B796" s="263"/>
    </row>
    <row r="797" ht="12.75">
      <c r="B797" s="263"/>
    </row>
    <row r="798" ht="12.75">
      <c r="B798" s="263"/>
    </row>
    <row r="799" ht="12.75">
      <c r="B799" s="263"/>
    </row>
    <row r="800" ht="12.75">
      <c r="B800" s="263"/>
    </row>
    <row r="801" ht="12.75">
      <c r="B801" s="263"/>
    </row>
    <row r="802" ht="12.75">
      <c r="B802" s="263"/>
    </row>
    <row r="803" ht="12.75">
      <c r="B803" s="263"/>
    </row>
    <row r="804" ht="12.75">
      <c r="B804" s="263"/>
    </row>
    <row r="805" ht="12.75">
      <c r="B805" s="263"/>
    </row>
    <row r="806" ht="12.75">
      <c r="B806" s="263"/>
    </row>
    <row r="807" ht="12.75">
      <c r="B807" s="263"/>
    </row>
    <row r="808" ht="12.75">
      <c r="B808" s="263"/>
    </row>
    <row r="809" ht="12.75">
      <c r="B809" s="263"/>
    </row>
    <row r="810" ht="12.75">
      <c r="B810" s="263"/>
    </row>
    <row r="811" ht="12.75">
      <c r="B811" s="263"/>
    </row>
    <row r="812" ht="12.75">
      <c r="B812" s="263"/>
    </row>
    <row r="813" ht="12.75">
      <c r="B813" s="263"/>
    </row>
    <row r="814" ht="12.75">
      <c r="B814" s="263"/>
    </row>
    <row r="815" ht="12.75">
      <c r="B815" s="263"/>
    </row>
    <row r="816" ht="12.75">
      <c r="B816" s="263"/>
    </row>
    <row r="817" ht="12.75">
      <c r="B817" s="263"/>
    </row>
    <row r="818" ht="12.75">
      <c r="B818" s="263"/>
    </row>
    <row r="819" ht="12.75">
      <c r="B819" s="263"/>
    </row>
    <row r="820" ht="12.75">
      <c r="B820" s="263"/>
    </row>
    <row r="821" ht="12.75">
      <c r="B821" s="263"/>
    </row>
    <row r="822" ht="12.75">
      <c r="B822" s="263"/>
    </row>
    <row r="823" ht="12.75">
      <c r="B823" s="263"/>
    </row>
    <row r="824" ht="12.75">
      <c r="B824" s="263"/>
    </row>
    <row r="825" ht="12.75">
      <c r="B825" s="263"/>
    </row>
    <row r="826" ht="12.75">
      <c r="B826" s="263"/>
    </row>
    <row r="827" ht="12.75">
      <c r="B827" s="263"/>
    </row>
    <row r="828" ht="12.75">
      <c r="B828" s="263"/>
    </row>
    <row r="829" ht="12.75">
      <c r="B829" s="263"/>
    </row>
    <row r="830" ht="12.75">
      <c r="B830" s="263"/>
    </row>
    <row r="831" ht="12.75">
      <c r="B831" s="263"/>
    </row>
    <row r="832" ht="12.75">
      <c r="B832" s="263"/>
    </row>
    <row r="833" ht="12.75">
      <c r="B833" s="263"/>
    </row>
    <row r="834" ht="12.75">
      <c r="B834" s="263"/>
    </row>
    <row r="835" ht="12.75">
      <c r="B835" s="263"/>
    </row>
    <row r="836" ht="12.75">
      <c r="B836" s="263"/>
    </row>
    <row r="837" ht="12.75">
      <c r="B837" s="263"/>
    </row>
    <row r="838" ht="12.75">
      <c r="B838" s="263"/>
    </row>
    <row r="839" ht="12.75">
      <c r="B839" s="263"/>
    </row>
    <row r="840" ht="12.75">
      <c r="B840" s="263"/>
    </row>
    <row r="841" ht="12.75">
      <c r="B841" s="263"/>
    </row>
    <row r="842" ht="12.75">
      <c r="B842" s="263"/>
    </row>
    <row r="843" ht="12.75">
      <c r="B843" s="263"/>
    </row>
    <row r="844" ht="12.75">
      <c r="B844" s="263"/>
    </row>
    <row r="845" ht="12.75">
      <c r="B845" s="263"/>
    </row>
    <row r="846" ht="12.75">
      <c r="B846" s="263"/>
    </row>
    <row r="847" ht="12.75">
      <c r="B847" s="263"/>
    </row>
    <row r="848" ht="12.75">
      <c r="B848" s="263"/>
    </row>
    <row r="849" ht="12.75">
      <c r="B849" s="263"/>
    </row>
    <row r="850" ht="12.75">
      <c r="B850" s="263"/>
    </row>
    <row r="851" ht="12.75">
      <c r="B851" s="263"/>
    </row>
    <row r="852" ht="12.75">
      <c r="B852" s="263"/>
    </row>
    <row r="853" ht="12.75">
      <c r="B853" s="263"/>
    </row>
    <row r="854" ht="12.75">
      <c r="B854" s="263"/>
    </row>
    <row r="855" ht="12.75">
      <c r="B855" s="263"/>
    </row>
    <row r="856" ht="12.75">
      <c r="B856" s="263"/>
    </row>
    <row r="857" ht="12.75">
      <c r="B857" s="263"/>
    </row>
    <row r="858" ht="12.75">
      <c r="B858" s="263"/>
    </row>
    <row r="859" ht="12.75">
      <c r="B859" s="263"/>
    </row>
    <row r="860" ht="12.75">
      <c r="B860" s="263"/>
    </row>
    <row r="861" ht="12.75">
      <c r="B861" s="263"/>
    </row>
    <row r="862" ht="12.75">
      <c r="B862" s="263"/>
    </row>
    <row r="863" ht="12.75">
      <c r="B863" s="263"/>
    </row>
    <row r="864" ht="12.75">
      <c r="B864" s="263"/>
    </row>
    <row r="865" ht="12.75">
      <c r="B865" s="263"/>
    </row>
    <row r="866" ht="12.75">
      <c r="B866" s="263"/>
    </row>
    <row r="867" ht="12.75">
      <c r="B867" s="263"/>
    </row>
    <row r="868" ht="12.75">
      <c r="B868" s="263"/>
    </row>
    <row r="869" ht="12.75">
      <c r="B869" s="263"/>
    </row>
    <row r="870" ht="12.75">
      <c r="B870" s="263"/>
    </row>
    <row r="871" ht="12.75">
      <c r="B871" s="263"/>
    </row>
    <row r="872" ht="12.75">
      <c r="B872" s="263"/>
    </row>
    <row r="873" ht="12.75">
      <c r="B873" s="263"/>
    </row>
    <row r="874" ht="12.75">
      <c r="B874" s="263"/>
    </row>
    <row r="875" ht="12.75">
      <c r="B875" s="263"/>
    </row>
    <row r="876" ht="12.75">
      <c r="B876" s="263"/>
    </row>
    <row r="877" ht="12.75">
      <c r="B877" s="263"/>
    </row>
    <row r="878" ht="12.75">
      <c r="B878" s="263"/>
    </row>
    <row r="879" ht="12.75">
      <c r="B879" s="263"/>
    </row>
    <row r="880" ht="12.75">
      <c r="B880" s="263"/>
    </row>
    <row r="881" ht="12.75">
      <c r="B881" s="263"/>
    </row>
    <row r="882" ht="12.75">
      <c r="B882" s="263"/>
    </row>
    <row r="883" ht="12.75">
      <c r="B883" s="263"/>
    </row>
    <row r="884" ht="12.75">
      <c r="B884" s="263"/>
    </row>
    <row r="885" ht="12.75">
      <c r="B885" s="263"/>
    </row>
    <row r="886" ht="12.75">
      <c r="B886" s="263"/>
    </row>
    <row r="887" ht="12.75">
      <c r="B887" s="263"/>
    </row>
    <row r="888" ht="12.75">
      <c r="B888" s="263"/>
    </row>
    <row r="889" ht="12.75">
      <c r="B889" s="263"/>
    </row>
    <row r="890" ht="12.75">
      <c r="B890" s="263"/>
    </row>
    <row r="891" ht="12.75">
      <c r="B891" s="263"/>
    </row>
    <row r="892" ht="12.75">
      <c r="B892" s="263"/>
    </row>
    <row r="893" ht="12.75">
      <c r="B893" s="263"/>
    </row>
    <row r="894" ht="12.75">
      <c r="B894" s="263"/>
    </row>
    <row r="895" ht="12.75">
      <c r="B895" s="263"/>
    </row>
    <row r="896" ht="12.75">
      <c r="B896" s="263"/>
    </row>
    <row r="897" ht="12.75">
      <c r="B897" s="263"/>
    </row>
    <row r="898" ht="12.75">
      <c r="B898" s="263"/>
    </row>
  </sheetData>
  <sheetProtection/>
  <mergeCells count="88">
    <mergeCell ref="A2:F2"/>
    <mergeCell ref="A1:F1"/>
    <mergeCell ref="A296:A301"/>
    <mergeCell ref="E3:E4"/>
    <mergeCell ref="A315:B320"/>
    <mergeCell ref="A229:A234"/>
    <mergeCell ref="B229:B234"/>
    <mergeCell ref="A254:A259"/>
    <mergeCell ref="B284:B289"/>
    <mergeCell ref="A308:A313"/>
    <mergeCell ref="B308:B313"/>
    <mergeCell ref="A290:A295"/>
    <mergeCell ref="A321:C321"/>
    <mergeCell ref="A302:A307"/>
    <mergeCell ref="B290:B295"/>
    <mergeCell ref="B302:B307"/>
    <mergeCell ref="B296:B301"/>
    <mergeCell ref="A284:A289"/>
    <mergeCell ref="B60:B65"/>
    <mergeCell ref="B241:B246"/>
    <mergeCell ref="B78:B83"/>
    <mergeCell ref="B175:B180"/>
    <mergeCell ref="B121:B126"/>
    <mergeCell ref="B205:B210"/>
    <mergeCell ref="B84:B89"/>
    <mergeCell ref="B102:B107"/>
    <mergeCell ref="B181:B186"/>
    <mergeCell ref="F3:F4"/>
    <mergeCell ref="A6:A23"/>
    <mergeCell ref="B6:B11"/>
    <mergeCell ref="B18:B23"/>
    <mergeCell ref="C3:C4"/>
    <mergeCell ref="A3:B5"/>
    <mergeCell ref="B12:B17"/>
    <mergeCell ref="D3:D4"/>
    <mergeCell ref="A278:A283"/>
    <mergeCell ref="A266:A271"/>
    <mergeCell ref="A272:A277"/>
    <mergeCell ref="A60:A83"/>
    <mergeCell ref="A84:A107"/>
    <mergeCell ref="A115:A132"/>
    <mergeCell ref="A175:A180"/>
    <mergeCell ref="A247:C247"/>
    <mergeCell ref="B266:B271"/>
    <mergeCell ref="B90:B95"/>
    <mergeCell ref="A36:A59"/>
    <mergeCell ref="B48:B53"/>
    <mergeCell ref="A24:A35"/>
    <mergeCell ref="B66:B71"/>
    <mergeCell ref="B54:B59"/>
    <mergeCell ref="B42:B47"/>
    <mergeCell ref="B24:B29"/>
    <mergeCell ref="B30:B35"/>
    <mergeCell ref="B72:B77"/>
    <mergeCell ref="B36:B41"/>
    <mergeCell ref="B254:B259"/>
    <mergeCell ref="B169:B174"/>
    <mergeCell ref="B127:B132"/>
    <mergeCell ref="B96:B101"/>
    <mergeCell ref="B115:B120"/>
    <mergeCell ref="B145:B150"/>
    <mergeCell ref="B133:B138"/>
    <mergeCell ref="A108:C108"/>
    <mergeCell ref="A109:B114"/>
    <mergeCell ref="B193:B198"/>
    <mergeCell ref="A314:C314"/>
    <mergeCell ref="A322:B327"/>
    <mergeCell ref="A235:A240"/>
    <mergeCell ref="B272:B277"/>
    <mergeCell ref="B278:B283"/>
    <mergeCell ref="B260:B265"/>
    <mergeCell ref="A260:A265"/>
    <mergeCell ref="B235:B240"/>
    <mergeCell ref="A241:A246"/>
    <mergeCell ref="B211:B216"/>
    <mergeCell ref="B223:B228"/>
    <mergeCell ref="A223:A228"/>
    <mergeCell ref="B217:B222"/>
    <mergeCell ref="A248:B253"/>
    <mergeCell ref="A181:A186"/>
    <mergeCell ref="B163:B168"/>
    <mergeCell ref="A133:A174"/>
    <mergeCell ref="B199:B204"/>
    <mergeCell ref="B187:B192"/>
    <mergeCell ref="B139:B144"/>
    <mergeCell ref="B157:B162"/>
    <mergeCell ref="B151:B156"/>
    <mergeCell ref="A187:A222"/>
  </mergeCells>
  <printOptions horizontalCentered="1"/>
  <pageMargins left="0.35433070866141736" right="0.1968503937007874" top="0.9448818897637796" bottom="0.1968503937007874" header="0.15748031496062992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1" sqref="M11"/>
    </sheetView>
  </sheetViews>
  <sheetFormatPr defaultColWidth="9.00390625" defaultRowHeight="12.75"/>
  <cols>
    <col min="1" max="1" width="6.25390625" style="7" customWidth="1"/>
    <col min="2" max="2" width="7.125" style="7" customWidth="1"/>
    <col min="3" max="3" width="22.75390625" style="2" customWidth="1"/>
    <col min="4" max="4" width="12.25390625" style="2" customWidth="1"/>
    <col min="5" max="5" width="14.625" style="2" customWidth="1"/>
    <col min="6" max="6" width="12.375" style="14" customWidth="1"/>
    <col min="7" max="7" width="12.125" style="14" customWidth="1"/>
    <col min="8" max="8" width="12.125" style="2" customWidth="1"/>
    <col min="9" max="9" width="12.25390625" style="14" customWidth="1"/>
    <col min="10" max="10" width="11.875" style="14" customWidth="1"/>
    <col min="11" max="11" width="12.75390625" style="4" customWidth="1"/>
    <col min="12" max="16384" width="9.125" style="2" customWidth="1"/>
  </cols>
  <sheetData>
    <row r="1" spans="1:11" s="10" customFormat="1" ht="15.75">
      <c r="A1" s="425" t="s">
        <v>198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s="10" customFormat="1" ht="15.75" customHeight="1" thickBot="1">
      <c r="A2" s="215"/>
      <c r="B2" s="215"/>
      <c r="C2" s="215"/>
      <c r="D2" s="424"/>
      <c r="E2" s="424"/>
      <c r="F2" s="424"/>
      <c r="G2" s="424"/>
      <c r="H2" s="424"/>
      <c r="I2" s="215"/>
      <c r="J2" s="215"/>
      <c r="K2" s="9"/>
    </row>
    <row r="3" spans="1:11" ht="13.5" customHeight="1" thickBot="1">
      <c r="A3" s="415" t="s">
        <v>8</v>
      </c>
      <c r="B3" s="415"/>
      <c r="C3" s="413" t="s">
        <v>187</v>
      </c>
      <c r="D3" s="543" t="s">
        <v>0</v>
      </c>
      <c r="E3" s="543"/>
      <c r="F3" s="543"/>
      <c r="G3" s="543"/>
      <c r="H3" s="543"/>
      <c r="I3" s="543"/>
      <c r="J3" s="599"/>
      <c r="K3" s="411" t="s">
        <v>48</v>
      </c>
    </row>
    <row r="4" spans="1:11" s="11" customFormat="1" ht="34.5" customHeight="1">
      <c r="A4" s="417"/>
      <c r="B4" s="417"/>
      <c r="C4" s="539"/>
      <c r="D4" s="324" t="s">
        <v>94</v>
      </c>
      <c r="E4" s="324" t="s">
        <v>169</v>
      </c>
      <c r="F4" s="326" t="s">
        <v>95</v>
      </c>
      <c r="G4" s="326" t="s">
        <v>96</v>
      </c>
      <c r="H4" s="326" t="s">
        <v>107</v>
      </c>
      <c r="I4" s="326" t="s">
        <v>108</v>
      </c>
      <c r="J4" s="600" t="s">
        <v>109</v>
      </c>
      <c r="K4" s="628"/>
    </row>
    <row r="5" spans="1:11" ht="13.5" customHeight="1" thickBot="1">
      <c r="A5" s="419"/>
      <c r="B5" s="419"/>
      <c r="C5" s="361" t="s">
        <v>9</v>
      </c>
      <c r="D5" s="272">
        <v>1</v>
      </c>
      <c r="E5" s="272">
        <v>2</v>
      </c>
      <c r="F5" s="278">
        <v>3</v>
      </c>
      <c r="G5" s="272">
        <v>4</v>
      </c>
      <c r="H5" s="278">
        <v>5</v>
      </c>
      <c r="I5" s="272">
        <v>6</v>
      </c>
      <c r="J5" s="601">
        <v>7</v>
      </c>
      <c r="K5" s="629">
        <v>8</v>
      </c>
    </row>
    <row r="6" spans="1:11" ht="13.5" customHeight="1">
      <c r="A6" s="540" t="s">
        <v>98</v>
      </c>
      <c r="B6" s="436" t="s">
        <v>6</v>
      </c>
      <c r="C6" s="264" t="s">
        <v>175</v>
      </c>
      <c r="D6" s="273"/>
      <c r="E6" s="273"/>
      <c r="F6" s="251">
        <v>12366.76</v>
      </c>
      <c r="G6" s="251">
        <v>24390.23</v>
      </c>
      <c r="H6" s="214">
        <v>119187.33</v>
      </c>
      <c r="I6" s="214">
        <v>2209.44</v>
      </c>
      <c r="J6" s="602">
        <v>30400.62</v>
      </c>
      <c r="K6" s="106">
        <f>SUM(D6:J6)</f>
        <v>188554.38</v>
      </c>
    </row>
    <row r="7" spans="1:11" ht="13.5" customHeight="1">
      <c r="A7" s="541"/>
      <c r="B7" s="437"/>
      <c r="C7" s="265" t="s">
        <v>1</v>
      </c>
      <c r="D7" s="274"/>
      <c r="E7" s="274"/>
      <c r="F7" s="252">
        <v>76768.35</v>
      </c>
      <c r="G7" s="252">
        <v>99280.48</v>
      </c>
      <c r="H7" s="173">
        <v>133335.85</v>
      </c>
      <c r="I7" s="173">
        <v>9535.96</v>
      </c>
      <c r="J7" s="603">
        <v>37145.58</v>
      </c>
      <c r="K7" s="86">
        <f aca="true" t="shared" si="0" ref="K7:K72">SUM(D7:J7)</f>
        <v>356066.2200000001</v>
      </c>
    </row>
    <row r="8" spans="1:11" ht="13.5" customHeight="1">
      <c r="A8" s="541"/>
      <c r="B8" s="437"/>
      <c r="C8" s="265" t="s">
        <v>2</v>
      </c>
      <c r="D8" s="274"/>
      <c r="E8" s="274"/>
      <c r="F8" s="252">
        <v>70383.41</v>
      </c>
      <c r="G8" s="252">
        <v>89372.18</v>
      </c>
      <c r="H8" s="173">
        <v>112545.7</v>
      </c>
      <c r="I8" s="173">
        <v>8173.42</v>
      </c>
      <c r="J8" s="603">
        <v>25515.58</v>
      </c>
      <c r="K8" s="86">
        <f t="shared" si="0"/>
        <v>305990.29</v>
      </c>
    </row>
    <row r="9" spans="1:11" ht="13.5" customHeight="1">
      <c r="A9" s="541"/>
      <c r="B9" s="437"/>
      <c r="C9" s="265" t="s">
        <v>4</v>
      </c>
      <c r="D9" s="252"/>
      <c r="E9" s="252"/>
      <c r="F9" s="252">
        <f>F7</f>
        <v>76768.35</v>
      </c>
      <c r="G9" s="252">
        <f>G7</f>
        <v>99280.48</v>
      </c>
      <c r="H9" s="252">
        <f>H7</f>
        <v>133335.85</v>
      </c>
      <c r="I9" s="252">
        <f>I7</f>
        <v>9535.96</v>
      </c>
      <c r="J9" s="604">
        <f>J7</f>
        <v>37145.58</v>
      </c>
      <c r="K9" s="86">
        <f t="shared" si="0"/>
        <v>356066.2200000001</v>
      </c>
    </row>
    <row r="10" spans="1:11" ht="13.5" customHeight="1">
      <c r="A10" s="541"/>
      <c r="B10" s="437"/>
      <c r="C10" s="265" t="s">
        <v>3</v>
      </c>
      <c r="D10" s="252"/>
      <c r="E10" s="252"/>
      <c r="F10" s="252">
        <f>+F8</f>
        <v>70383.41</v>
      </c>
      <c r="G10" s="252">
        <f>+G8</f>
        <v>89372.18</v>
      </c>
      <c r="H10" s="252">
        <f>+H8</f>
        <v>112545.7</v>
      </c>
      <c r="I10" s="252">
        <f>+I8</f>
        <v>8173.42</v>
      </c>
      <c r="J10" s="604">
        <f>+J8</f>
        <v>25515.58</v>
      </c>
      <c r="K10" s="86">
        <f t="shared" si="0"/>
        <v>305990.29</v>
      </c>
    </row>
    <row r="11" spans="1:11" ht="13.5" customHeight="1" thickBot="1">
      <c r="A11" s="542"/>
      <c r="B11" s="438"/>
      <c r="C11" s="266" t="s">
        <v>199</v>
      </c>
      <c r="D11" s="75"/>
      <c r="E11" s="75"/>
      <c r="F11" s="75">
        <f aca="true" t="shared" si="1" ref="F11:K11">F6+F7-F8</f>
        <v>18751.699999999997</v>
      </c>
      <c r="G11" s="75">
        <f t="shared" si="1"/>
        <v>34298.53</v>
      </c>
      <c r="H11" s="75">
        <f t="shared" si="1"/>
        <v>139977.47999999998</v>
      </c>
      <c r="I11" s="75">
        <f t="shared" si="1"/>
        <v>3571.9799999999996</v>
      </c>
      <c r="J11" s="605">
        <f t="shared" si="1"/>
        <v>42030.619999999995</v>
      </c>
      <c r="K11" s="75">
        <f t="shared" si="1"/>
        <v>238630.3100000001</v>
      </c>
    </row>
    <row r="12" spans="1:11" ht="12.75">
      <c r="A12" s="382" t="s">
        <v>5</v>
      </c>
      <c r="B12" s="436" t="s">
        <v>6</v>
      </c>
      <c r="C12" s="267" t="s">
        <v>175</v>
      </c>
      <c r="D12" s="275">
        <v>146623.94</v>
      </c>
      <c r="E12" s="275">
        <v>69159.41</v>
      </c>
      <c r="F12" s="172"/>
      <c r="G12" s="172"/>
      <c r="H12" s="282"/>
      <c r="I12" s="162"/>
      <c r="J12" s="606"/>
      <c r="K12" s="86">
        <f t="shared" si="0"/>
        <v>215783.35</v>
      </c>
    </row>
    <row r="13" spans="1:11" ht="12.75">
      <c r="A13" s="383"/>
      <c r="B13" s="437"/>
      <c r="C13" s="265" t="s">
        <v>1</v>
      </c>
      <c r="D13" s="252">
        <v>499610.75</v>
      </c>
      <c r="E13" s="252">
        <v>215633.41</v>
      </c>
      <c r="F13" s="173"/>
      <c r="G13" s="173"/>
      <c r="H13" s="254"/>
      <c r="I13" s="120"/>
      <c r="J13" s="607"/>
      <c r="K13" s="86">
        <f t="shared" si="0"/>
        <v>715244.16</v>
      </c>
    </row>
    <row r="14" spans="1:11" ht="12.75">
      <c r="A14" s="383"/>
      <c r="B14" s="437"/>
      <c r="C14" s="265" t="s">
        <v>2</v>
      </c>
      <c r="D14" s="252">
        <v>448603.73</v>
      </c>
      <c r="E14" s="252">
        <v>205346.03</v>
      </c>
      <c r="F14" s="173"/>
      <c r="G14" s="173"/>
      <c r="H14" s="254"/>
      <c r="I14" s="120"/>
      <c r="J14" s="607"/>
      <c r="K14" s="86">
        <f t="shared" si="0"/>
        <v>653949.76</v>
      </c>
    </row>
    <row r="15" spans="1:11" ht="12.75">
      <c r="A15" s="383"/>
      <c r="B15" s="437"/>
      <c r="C15" s="265" t="s">
        <v>4</v>
      </c>
      <c r="D15" s="252">
        <f>+D13</f>
        <v>499610.75</v>
      </c>
      <c r="E15" s="252">
        <f>+E13</f>
        <v>215633.41</v>
      </c>
      <c r="F15" s="252"/>
      <c r="G15" s="252"/>
      <c r="H15" s="252"/>
      <c r="I15" s="252"/>
      <c r="J15" s="604"/>
      <c r="K15" s="86">
        <f t="shared" si="0"/>
        <v>715244.16</v>
      </c>
    </row>
    <row r="16" spans="1:11" ht="12.75">
      <c r="A16" s="383"/>
      <c r="B16" s="437"/>
      <c r="C16" s="265" t="s">
        <v>3</v>
      </c>
      <c r="D16" s="252">
        <f>+D14</f>
        <v>448603.73</v>
      </c>
      <c r="E16" s="252">
        <f>+E14</f>
        <v>205346.03</v>
      </c>
      <c r="F16" s="252"/>
      <c r="G16" s="252"/>
      <c r="H16" s="252"/>
      <c r="I16" s="252"/>
      <c r="J16" s="604"/>
      <c r="K16" s="86">
        <f t="shared" si="0"/>
        <v>653949.76</v>
      </c>
    </row>
    <row r="17" spans="1:11" s="3" customFormat="1" ht="13.5" thickBot="1">
      <c r="A17" s="383"/>
      <c r="B17" s="438"/>
      <c r="C17" s="268" t="s">
        <v>199</v>
      </c>
      <c r="D17" s="114">
        <f>D12+D13-D14</f>
        <v>197630.95999999996</v>
      </c>
      <c r="E17" s="114">
        <f>E12+E13-E14</f>
        <v>79446.79000000001</v>
      </c>
      <c r="F17" s="114"/>
      <c r="G17" s="114"/>
      <c r="H17" s="114"/>
      <c r="I17" s="114"/>
      <c r="J17" s="608"/>
      <c r="K17" s="78">
        <f t="shared" si="0"/>
        <v>277077.75</v>
      </c>
    </row>
    <row r="18" spans="1:11" ht="12.75">
      <c r="A18" s="383"/>
      <c r="B18" s="436" t="s">
        <v>7</v>
      </c>
      <c r="C18" s="264" t="s">
        <v>175</v>
      </c>
      <c r="D18" s="251">
        <v>116222.37</v>
      </c>
      <c r="E18" s="251">
        <v>54304.13</v>
      </c>
      <c r="F18" s="251">
        <v>9005.56</v>
      </c>
      <c r="G18" s="251">
        <v>24872.81</v>
      </c>
      <c r="H18" s="214">
        <v>132153.36</v>
      </c>
      <c r="I18" s="253">
        <v>33346.24</v>
      </c>
      <c r="J18" s="602">
        <v>33486.28</v>
      </c>
      <c r="K18" s="90">
        <f t="shared" si="0"/>
        <v>403390.75</v>
      </c>
    </row>
    <row r="19" spans="1:11" ht="12.75">
      <c r="A19" s="383"/>
      <c r="B19" s="437"/>
      <c r="C19" s="265" t="s">
        <v>1</v>
      </c>
      <c r="D19" s="252">
        <v>416176.51</v>
      </c>
      <c r="E19" s="252">
        <v>183863.01</v>
      </c>
      <c r="F19" s="252">
        <v>77435.09</v>
      </c>
      <c r="G19" s="252">
        <v>104364.99</v>
      </c>
      <c r="H19" s="173">
        <v>139738.89</v>
      </c>
      <c r="I19" s="254">
        <v>39542.79</v>
      </c>
      <c r="J19" s="603">
        <v>39539.64</v>
      </c>
      <c r="K19" s="86">
        <f t="shared" si="0"/>
        <v>1000660.92</v>
      </c>
    </row>
    <row r="20" spans="1:11" ht="12.75">
      <c r="A20" s="383"/>
      <c r="B20" s="437"/>
      <c r="C20" s="265" t="s">
        <v>2</v>
      </c>
      <c r="D20" s="252">
        <v>365823.17</v>
      </c>
      <c r="E20" s="252">
        <v>173683.87</v>
      </c>
      <c r="F20" s="252">
        <v>69047.38</v>
      </c>
      <c r="G20" s="252">
        <v>94339.6</v>
      </c>
      <c r="H20" s="173">
        <v>118733.66</v>
      </c>
      <c r="I20" s="254">
        <v>26944.09</v>
      </c>
      <c r="J20" s="603">
        <v>26828.43</v>
      </c>
      <c r="K20" s="86">
        <f t="shared" si="0"/>
        <v>875400.2000000001</v>
      </c>
    </row>
    <row r="21" spans="1:11" ht="12.75">
      <c r="A21" s="383"/>
      <c r="B21" s="437"/>
      <c r="C21" s="265" t="s">
        <v>4</v>
      </c>
      <c r="D21" s="252">
        <f>+D19</f>
        <v>416176.51</v>
      </c>
      <c r="E21" s="252">
        <f aca="true" t="shared" si="2" ref="E21:J21">+E19</f>
        <v>183863.01</v>
      </c>
      <c r="F21" s="252">
        <f t="shared" si="2"/>
        <v>77435.09</v>
      </c>
      <c r="G21" s="252">
        <f t="shared" si="2"/>
        <v>104364.99</v>
      </c>
      <c r="H21" s="252">
        <f t="shared" si="2"/>
        <v>139738.89</v>
      </c>
      <c r="I21" s="252">
        <f t="shared" si="2"/>
        <v>39542.79</v>
      </c>
      <c r="J21" s="604">
        <f t="shared" si="2"/>
        <v>39539.64</v>
      </c>
      <c r="K21" s="86">
        <f t="shared" si="0"/>
        <v>1000660.92</v>
      </c>
    </row>
    <row r="22" spans="1:11" ht="12.75">
      <c r="A22" s="383"/>
      <c r="B22" s="437"/>
      <c r="C22" s="265" t="s">
        <v>3</v>
      </c>
      <c r="D22" s="252">
        <f>+D20</f>
        <v>365823.17</v>
      </c>
      <c r="E22" s="252">
        <f aca="true" t="shared" si="3" ref="E22:J22">+E20</f>
        <v>173683.87</v>
      </c>
      <c r="F22" s="252">
        <f t="shared" si="3"/>
        <v>69047.38</v>
      </c>
      <c r="G22" s="252">
        <f t="shared" si="3"/>
        <v>94339.6</v>
      </c>
      <c r="H22" s="252">
        <f t="shared" si="3"/>
        <v>118733.66</v>
      </c>
      <c r="I22" s="252">
        <f t="shared" si="3"/>
        <v>26944.09</v>
      </c>
      <c r="J22" s="604">
        <f t="shared" si="3"/>
        <v>26828.43</v>
      </c>
      <c r="K22" s="86">
        <f t="shared" si="0"/>
        <v>875400.2000000001</v>
      </c>
    </row>
    <row r="23" spans="1:11" s="3" customFormat="1" ht="13.5" thickBot="1">
      <c r="A23" s="383"/>
      <c r="B23" s="438"/>
      <c r="C23" s="266" t="s">
        <v>199</v>
      </c>
      <c r="D23" s="75">
        <f aca="true" t="shared" si="4" ref="D23:K23">D18+D19-D20</f>
        <v>166575.71000000002</v>
      </c>
      <c r="E23" s="75">
        <f>E18+E19-E20</f>
        <v>64483.27000000002</v>
      </c>
      <c r="F23" s="75">
        <f t="shared" si="4"/>
        <v>17393.26999999999</v>
      </c>
      <c r="G23" s="75">
        <f t="shared" si="4"/>
        <v>34898.2</v>
      </c>
      <c r="H23" s="75">
        <f t="shared" si="4"/>
        <v>153158.59</v>
      </c>
      <c r="I23" s="75">
        <f t="shared" si="4"/>
        <v>45944.94</v>
      </c>
      <c r="J23" s="605">
        <f t="shared" si="4"/>
        <v>46197.49</v>
      </c>
      <c r="K23" s="75">
        <f t="shared" si="4"/>
        <v>528651.4699999999</v>
      </c>
    </row>
    <row r="24" spans="1:11" s="3" customFormat="1" ht="12.75">
      <c r="A24" s="523"/>
      <c r="B24" s="436" t="s">
        <v>122</v>
      </c>
      <c r="C24" s="267" t="s">
        <v>175</v>
      </c>
      <c r="D24" s="275">
        <v>-181.73</v>
      </c>
      <c r="E24" s="275">
        <v>-12.95</v>
      </c>
      <c r="F24" s="275">
        <v>-10.53</v>
      </c>
      <c r="G24" s="275">
        <v>-20.73</v>
      </c>
      <c r="H24" s="172">
        <v>104.24</v>
      </c>
      <c r="I24" s="172">
        <v>237.92</v>
      </c>
      <c r="J24" s="609">
        <v>202.06</v>
      </c>
      <c r="K24" s="86">
        <f t="shared" si="0"/>
        <v>318.28000000000003</v>
      </c>
    </row>
    <row r="25" spans="1:11" s="3" customFormat="1" ht="12.75">
      <c r="A25" s="523"/>
      <c r="B25" s="437"/>
      <c r="C25" s="265" t="s">
        <v>1</v>
      </c>
      <c r="D25" s="252">
        <v>314.64</v>
      </c>
      <c r="E25" s="252">
        <v>46.97</v>
      </c>
      <c r="F25" s="252">
        <v>10.99</v>
      </c>
      <c r="G25" s="252">
        <v>29.17</v>
      </c>
      <c r="H25" s="173">
        <v>-89.73</v>
      </c>
      <c r="I25" s="173">
        <v>-220.37</v>
      </c>
      <c r="J25" s="603">
        <v>-179.98</v>
      </c>
      <c r="K25" s="86">
        <f t="shared" si="0"/>
        <v>-88.30999999999997</v>
      </c>
    </row>
    <row r="26" spans="1:11" s="3" customFormat="1" ht="12.75">
      <c r="A26" s="523"/>
      <c r="B26" s="437"/>
      <c r="C26" s="265" t="s">
        <v>2</v>
      </c>
      <c r="D26" s="252">
        <v>132.91</v>
      </c>
      <c r="E26" s="252">
        <v>34.02</v>
      </c>
      <c r="F26" s="252">
        <v>0.46</v>
      </c>
      <c r="G26" s="252">
        <v>8.44</v>
      </c>
      <c r="H26" s="173">
        <v>14.51</v>
      </c>
      <c r="I26" s="173">
        <v>17.55</v>
      </c>
      <c r="J26" s="603">
        <v>22.08</v>
      </c>
      <c r="K26" s="86">
        <f t="shared" si="0"/>
        <v>229.97000000000003</v>
      </c>
    </row>
    <row r="27" spans="1:11" s="3" customFormat="1" ht="12.75">
      <c r="A27" s="523"/>
      <c r="B27" s="437"/>
      <c r="C27" s="265" t="s">
        <v>4</v>
      </c>
      <c r="D27" s="252">
        <f>+D25</f>
        <v>314.64</v>
      </c>
      <c r="E27" s="252">
        <f aca="true" t="shared" si="5" ref="E27:J27">+E25</f>
        <v>46.97</v>
      </c>
      <c r="F27" s="252">
        <f t="shared" si="5"/>
        <v>10.99</v>
      </c>
      <c r="G27" s="252">
        <f t="shared" si="5"/>
        <v>29.17</v>
      </c>
      <c r="H27" s="252">
        <f t="shared" si="5"/>
        <v>-89.73</v>
      </c>
      <c r="I27" s="252">
        <f t="shared" si="5"/>
        <v>-220.37</v>
      </c>
      <c r="J27" s="604">
        <f t="shared" si="5"/>
        <v>-179.98</v>
      </c>
      <c r="K27" s="86">
        <f t="shared" si="0"/>
        <v>-88.30999999999997</v>
      </c>
    </row>
    <row r="28" spans="1:11" s="3" customFormat="1" ht="12.75">
      <c r="A28" s="523"/>
      <c r="B28" s="437"/>
      <c r="C28" s="265" t="s">
        <v>3</v>
      </c>
      <c r="D28" s="252">
        <f>+D26</f>
        <v>132.91</v>
      </c>
      <c r="E28" s="252">
        <f aca="true" t="shared" si="6" ref="E28:J28">+E26</f>
        <v>34.02</v>
      </c>
      <c r="F28" s="252">
        <f t="shared" si="6"/>
        <v>0.46</v>
      </c>
      <c r="G28" s="252">
        <f t="shared" si="6"/>
        <v>8.44</v>
      </c>
      <c r="H28" s="252">
        <f t="shared" si="6"/>
        <v>14.51</v>
      </c>
      <c r="I28" s="252">
        <f t="shared" si="6"/>
        <v>17.55</v>
      </c>
      <c r="J28" s="604">
        <f t="shared" si="6"/>
        <v>22.08</v>
      </c>
      <c r="K28" s="86">
        <f t="shared" si="0"/>
        <v>229.97000000000003</v>
      </c>
    </row>
    <row r="29" spans="1:11" s="3" customFormat="1" ht="13.5" thickBot="1">
      <c r="A29" s="524"/>
      <c r="B29" s="438"/>
      <c r="C29" s="268" t="s">
        <v>199</v>
      </c>
      <c r="D29" s="276">
        <f aca="true" t="shared" si="7" ref="D29:K29">D24+D25-D26</f>
        <v>0</v>
      </c>
      <c r="E29" s="276">
        <f>E24+E25-E26</f>
        <v>0</v>
      </c>
      <c r="F29" s="114">
        <f t="shared" si="7"/>
        <v>8.326672684688674E-16</v>
      </c>
      <c r="G29" s="114">
        <f t="shared" si="7"/>
        <v>0</v>
      </c>
      <c r="H29" s="114">
        <f t="shared" si="7"/>
        <v>0</v>
      </c>
      <c r="I29" s="114">
        <f t="shared" si="7"/>
        <v>0</v>
      </c>
      <c r="J29" s="608">
        <f t="shared" si="7"/>
        <v>0</v>
      </c>
      <c r="K29" s="114">
        <f t="shared" si="7"/>
        <v>0</v>
      </c>
    </row>
    <row r="30" spans="1:11" s="3" customFormat="1" ht="12.75">
      <c r="A30" s="382" t="s">
        <v>97</v>
      </c>
      <c r="B30" s="436" t="s">
        <v>10</v>
      </c>
      <c r="C30" s="264" t="s">
        <v>175</v>
      </c>
      <c r="D30" s="251">
        <v>222167.16</v>
      </c>
      <c r="E30" s="251">
        <v>149901.1</v>
      </c>
      <c r="F30" s="106"/>
      <c r="G30" s="106"/>
      <c r="H30" s="214"/>
      <c r="I30" s="214"/>
      <c r="J30" s="602"/>
      <c r="K30" s="86">
        <f t="shared" si="0"/>
        <v>372068.26</v>
      </c>
    </row>
    <row r="31" spans="1:11" s="3" customFormat="1" ht="14.25" customHeight="1">
      <c r="A31" s="383"/>
      <c r="B31" s="437"/>
      <c r="C31" s="265" t="s">
        <v>1</v>
      </c>
      <c r="D31" s="252">
        <v>2805396.35</v>
      </c>
      <c r="E31" s="252">
        <v>1569173.4</v>
      </c>
      <c r="F31" s="86"/>
      <c r="G31" s="86"/>
      <c r="H31" s="173"/>
      <c r="I31" s="173"/>
      <c r="J31" s="603"/>
      <c r="K31" s="86">
        <f t="shared" si="0"/>
        <v>4374569.75</v>
      </c>
    </row>
    <row r="32" spans="1:11" s="3" customFormat="1" ht="14.25" customHeight="1">
      <c r="A32" s="383"/>
      <c r="B32" s="437"/>
      <c r="C32" s="265" t="s">
        <v>2</v>
      </c>
      <c r="D32" s="252">
        <v>3850436.47</v>
      </c>
      <c r="E32" s="252">
        <v>1610460.44</v>
      </c>
      <c r="F32" s="86"/>
      <c r="G32" s="86"/>
      <c r="H32" s="173"/>
      <c r="I32" s="173"/>
      <c r="J32" s="603"/>
      <c r="K32" s="86">
        <f t="shared" si="0"/>
        <v>5460896.91</v>
      </c>
    </row>
    <row r="33" spans="1:11" s="3" customFormat="1" ht="12.75">
      <c r="A33" s="383"/>
      <c r="B33" s="437"/>
      <c r="C33" s="265" t="s">
        <v>4</v>
      </c>
      <c r="D33" s="252">
        <f>+D31</f>
        <v>2805396.35</v>
      </c>
      <c r="E33" s="252">
        <f>+E31</f>
        <v>1569173.4</v>
      </c>
      <c r="F33" s="252"/>
      <c r="G33" s="252"/>
      <c r="H33" s="252"/>
      <c r="I33" s="252"/>
      <c r="J33" s="604"/>
      <c r="K33" s="86">
        <f t="shared" si="0"/>
        <v>4374569.75</v>
      </c>
    </row>
    <row r="34" spans="1:11" s="3" customFormat="1" ht="12.75">
      <c r="A34" s="383"/>
      <c r="B34" s="437"/>
      <c r="C34" s="265" t="s">
        <v>3</v>
      </c>
      <c r="D34" s="252">
        <f>+D32</f>
        <v>3850436.47</v>
      </c>
      <c r="E34" s="252">
        <f>+E32</f>
        <v>1610460.44</v>
      </c>
      <c r="F34" s="252"/>
      <c r="G34" s="252"/>
      <c r="H34" s="252"/>
      <c r="I34" s="252"/>
      <c r="J34" s="604"/>
      <c r="K34" s="86">
        <f t="shared" si="0"/>
        <v>5460896.91</v>
      </c>
    </row>
    <row r="35" spans="1:11" s="3" customFormat="1" ht="13.5" thickBot="1">
      <c r="A35" s="383"/>
      <c r="B35" s="438"/>
      <c r="C35" s="266" t="s">
        <v>199</v>
      </c>
      <c r="D35" s="75">
        <f>D30+D31-D32</f>
        <v>-822872.96</v>
      </c>
      <c r="E35" s="75">
        <f>E30+E31-E32</f>
        <v>108614.06000000006</v>
      </c>
      <c r="F35" s="75"/>
      <c r="G35" s="75"/>
      <c r="H35" s="75"/>
      <c r="I35" s="75"/>
      <c r="J35" s="605"/>
      <c r="K35" s="78">
        <f t="shared" si="0"/>
        <v>-714258.8999999999</v>
      </c>
    </row>
    <row r="36" spans="1:11" s="3" customFormat="1" ht="12.75">
      <c r="A36" s="383"/>
      <c r="B36" s="436" t="s">
        <v>12</v>
      </c>
      <c r="C36" s="267" t="s">
        <v>175</v>
      </c>
      <c r="D36" s="275">
        <v>192059.76</v>
      </c>
      <c r="E36" s="275">
        <v>99024.66</v>
      </c>
      <c r="F36" s="90"/>
      <c r="G36" s="90"/>
      <c r="H36" s="172"/>
      <c r="I36" s="172"/>
      <c r="J36" s="609"/>
      <c r="K36" s="90">
        <f t="shared" si="0"/>
        <v>291084.42000000004</v>
      </c>
    </row>
    <row r="37" spans="1:11" s="3" customFormat="1" ht="12.75">
      <c r="A37" s="383"/>
      <c r="B37" s="437"/>
      <c r="C37" s="265" t="s">
        <v>1</v>
      </c>
      <c r="D37" s="252">
        <v>664567.84</v>
      </c>
      <c r="E37" s="252">
        <v>279480.47</v>
      </c>
      <c r="F37" s="86"/>
      <c r="G37" s="86"/>
      <c r="H37" s="173"/>
      <c r="I37" s="173"/>
      <c r="J37" s="603"/>
      <c r="K37" s="86">
        <f t="shared" si="0"/>
        <v>944048.3099999999</v>
      </c>
    </row>
    <row r="38" spans="1:11" s="3" customFormat="1" ht="12.75">
      <c r="A38" s="383"/>
      <c r="B38" s="437"/>
      <c r="C38" s="265" t="s">
        <v>2</v>
      </c>
      <c r="D38" s="252">
        <v>606232.19</v>
      </c>
      <c r="E38" s="252">
        <v>268882.93</v>
      </c>
      <c r="F38" s="86"/>
      <c r="G38" s="86"/>
      <c r="H38" s="173"/>
      <c r="I38" s="173"/>
      <c r="J38" s="603"/>
      <c r="K38" s="86">
        <f t="shared" si="0"/>
        <v>875115.1199999999</v>
      </c>
    </row>
    <row r="39" spans="1:11" s="3" customFormat="1" ht="12.75">
      <c r="A39" s="383"/>
      <c r="B39" s="437"/>
      <c r="C39" s="265" t="s">
        <v>4</v>
      </c>
      <c r="D39" s="252">
        <f>+D37</f>
        <v>664567.84</v>
      </c>
      <c r="E39" s="252">
        <f>+E37</f>
        <v>279480.47</v>
      </c>
      <c r="F39" s="252"/>
      <c r="G39" s="252"/>
      <c r="H39" s="252"/>
      <c r="I39" s="252"/>
      <c r="J39" s="604"/>
      <c r="K39" s="86">
        <f t="shared" si="0"/>
        <v>944048.3099999999</v>
      </c>
    </row>
    <row r="40" spans="1:11" s="3" customFormat="1" ht="12.75">
      <c r="A40" s="383"/>
      <c r="B40" s="437"/>
      <c r="C40" s="265" t="s">
        <v>3</v>
      </c>
      <c r="D40" s="252">
        <v>748490.42</v>
      </c>
      <c r="E40" s="252">
        <f>+E38</f>
        <v>268882.93</v>
      </c>
      <c r="F40" s="252"/>
      <c r="G40" s="252"/>
      <c r="H40" s="252"/>
      <c r="I40" s="252"/>
      <c r="J40" s="604"/>
      <c r="K40" s="86">
        <f t="shared" si="0"/>
        <v>1017373.3500000001</v>
      </c>
    </row>
    <row r="41" spans="1:11" s="3" customFormat="1" ht="13.5" thickBot="1">
      <c r="A41" s="383"/>
      <c r="B41" s="453"/>
      <c r="C41" s="268" t="s">
        <v>199</v>
      </c>
      <c r="D41" s="114">
        <f>D36+D37-D38</f>
        <v>250395.41000000003</v>
      </c>
      <c r="E41" s="114">
        <f>E36+E37-E38</f>
        <v>109622.20000000001</v>
      </c>
      <c r="F41" s="114"/>
      <c r="G41" s="114"/>
      <c r="H41" s="114"/>
      <c r="I41" s="114"/>
      <c r="J41" s="608"/>
      <c r="K41" s="78">
        <f t="shared" si="0"/>
        <v>360017.61000000004</v>
      </c>
    </row>
    <row r="42" spans="1:11" s="3" customFormat="1" ht="12.75">
      <c r="A42" s="383"/>
      <c r="B42" s="436" t="s">
        <v>124</v>
      </c>
      <c r="C42" s="264" t="s">
        <v>175</v>
      </c>
      <c r="D42" s="251">
        <v>-291.18</v>
      </c>
      <c r="E42" s="251">
        <v>-22.21</v>
      </c>
      <c r="F42" s="106"/>
      <c r="G42" s="106"/>
      <c r="H42" s="214"/>
      <c r="I42" s="214"/>
      <c r="J42" s="602"/>
      <c r="K42" s="90">
        <f t="shared" si="0"/>
        <v>-313.39</v>
      </c>
    </row>
    <row r="43" spans="1:11" s="3" customFormat="1" ht="12.75">
      <c r="A43" s="383"/>
      <c r="B43" s="437"/>
      <c r="C43" s="265" t="s">
        <v>1</v>
      </c>
      <c r="D43" s="252">
        <v>492.48</v>
      </c>
      <c r="E43" s="252">
        <v>73.48</v>
      </c>
      <c r="F43" s="86"/>
      <c r="G43" s="86"/>
      <c r="H43" s="173"/>
      <c r="I43" s="173"/>
      <c r="J43" s="603"/>
      <c r="K43" s="86">
        <f t="shared" si="0"/>
        <v>565.96</v>
      </c>
    </row>
    <row r="44" spans="1:11" s="3" customFormat="1" ht="12.75">
      <c r="A44" s="383"/>
      <c r="B44" s="437"/>
      <c r="C44" s="265" t="s">
        <v>2</v>
      </c>
      <c r="D44" s="252">
        <v>201.3</v>
      </c>
      <c r="E44" s="252">
        <v>51.27</v>
      </c>
      <c r="F44" s="86"/>
      <c r="G44" s="86"/>
      <c r="H44" s="173"/>
      <c r="I44" s="173"/>
      <c r="J44" s="603"/>
      <c r="K44" s="86">
        <f t="shared" si="0"/>
        <v>252.57000000000002</v>
      </c>
    </row>
    <row r="45" spans="1:11" s="3" customFormat="1" ht="12.75">
      <c r="A45" s="383"/>
      <c r="B45" s="437"/>
      <c r="C45" s="265" t="s">
        <v>4</v>
      </c>
      <c r="D45" s="252">
        <f>+D43</f>
        <v>492.48</v>
      </c>
      <c r="E45" s="252">
        <f>+E43</f>
        <v>73.48</v>
      </c>
      <c r="F45" s="252"/>
      <c r="G45" s="252"/>
      <c r="H45" s="252"/>
      <c r="I45" s="252"/>
      <c r="J45" s="604"/>
      <c r="K45" s="86">
        <f t="shared" si="0"/>
        <v>565.96</v>
      </c>
    </row>
    <row r="46" spans="1:11" s="3" customFormat="1" ht="12.75">
      <c r="A46" s="383"/>
      <c r="B46" s="437"/>
      <c r="C46" s="265" t="s">
        <v>3</v>
      </c>
      <c r="D46" s="252">
        <f>+D44</f>
        <v>201.3</v>
      </c>
      <c r="E46" s="252">
        <f>+E44</f>
        <v>51.27</v>
      </c>
      <c r="F46" s="252"/>
      <c r="G46" s="252"/>
      <c r="H46" s="252"/>
      <c r="I46" s="252"/>
      <c r="J46" s="604"/>
      <c r="K46" s="86">
        <f t="shared" si="0"/>
        <v>252.57000000000002</v>
      </c>
    </row>
    <row r="47" spans="1:11" s="3" customFormat="1" ht="13.5" thickBot="1">
      <c r="A47" s="407"/>
      <c r="B47" s="438"/>
      <c r="C47" s="266" t="s">
        <v>199</v>
      </c>
      <c r="D47" s="75">
        <f>D42+D43-D44</f>
        <v>0</v>
      </c>
      <c r="E47" s="75">
        <f>E42+E43-E44</f>
        <v>0</v>
      </c>
      <c r="F47" s="75"/>
      <c r="G47" s="75"/>
      <c r="H47" s="75"/>
      <c r="I47" s="75"/>
      <c r="J47" s="605"/>
      <c r="K47" s="78">
        <f t="shared" si="0"/>
        <v>0</v>
      </c>
    </row>
    <row r="48" spans="1:11" s="3" customFormat="1" ht="13.5" customHeight="1">
      <c r="A48" s="540" t="s">
        <v>123</v>
      </c>
      <c r="B48" s="436" t="s">
        <v>135</v>
      </c>
      <c r="C48" s="264" t="s">
        <v>175</v>
      </c>
      <c r="D48" s="106"/>
      <c r="E48" s="106"/>
      <c r="F48" s="251">
        <v>-261.9</v>
      </c>
      <c r="G48" s="251">
        <v>-288.99</v>
      </c>
      <c r="H48" s="214">
        <v>838.02</v>
      </c>
      <c r="I48" s="214">
        <v>8212.62</v>
      </c>
      <c r="J48" s="602">
        <v>3549.19</v>
      </c>
      <c r="K48" s="90">
        <f t="shared" si="0"/>
        <v>12048.94</v>
      </c>
    </row>
    <row r="49" spans="1:11" s="3" customFormat="1" ht="12.75">
      <c r="A49" s="541"/>
      <c r="B49" s="437"/>
      <c r="C49" s="265" t="s">
        <v>1</v>
      </c>
      <c r="D49" s="86"/>
      <c r="E49" s="86"/>
      <c r="F49" s="252">
        <v>268</v>
      </c>
      <c r="G49" s="252">
        <v>400.45</v>
      </c>
      <c r="H49" s="173">
        <v>-641.09</v>
      </c>
      <c r="I49" s="173">
        <v>-7961.87</v>
      </c>
      <c r="J49" s="603">
        <v>-3255.29</v>
      </c>
      <c r="K49" s="86">
        <f t="shared" si="0"/>
        <v>-11189.8</v>
      </c>
    </row>
    <row r="50" spans="1:11" s="3" customFormat="1" ht="15.75" customHeight="1">
      <c r="A50" s="541"/>
      <c r="B50" s="437"/>
      <c r="C50" s="265" t="s">
        <v>2</v>
      </c>
      <c r="D50" s="86"/>
      <c r="E50" s="86"/>
      <c r="F50" s="252">
        <v>6.1</v>
      </c>
      <c r="G50" s="252">
        <v>111.46</v>
      </c>
      <c r="H50" s="173">
        <v>196.93</v>
      </c>
      <c r="I50" s="173">
        <v>250.75</v>
      </c>
      <c r="J50" s="603">
        <v>293.9</v>
      </c>
      <c r="K50" s="86">
        <f t="shared" si="0"/>
        <v>859.14</v>
      </c>
    </row>
    <row r="51" spans="1:11" s="3" customFormat="1" ht="12.75">
      <c r="A51" s="541"/>
      <c r="B51" s="437"/>
      <c r="C51" s="265" t="s">
        <v>4</v>
      </c>
      <c r="D51" s="252">
        <f>+D49</f>
        <v>0</v>
      </c>
      <c r="E51" s="252">
        <f aca="true" t="shared" si="8" ref="E51:J51">+E49</f>
        <v>0</v>
      </c>
      <c r="F51" s="252">
        <f t="shared" si="8"/>
        <v>268</v>
      </c>
      <c r="G51" s="252">
        <f t="shared" si="8"/>
        <v>400.45</v>
      </c>
      <c r="H51" s="252">
        <f t="shared" si="8"/>
        <v>-641.09</v>
      </c>
      <c r="I51" s="252">
        <f t="shared" si="8"/>
        <v>-7961.87</v>
      </c>
      <c r="J51" s="604">
        <f t="shared" si="8"/>
        <v>-3255.29</v>
      </c>
      <c r="K51" s="86">
        <f t="shared" si="0"/>
        <v>-11189.8</v>
      </c>
    </row>
    <row r="52" spans="1:11" s="3" customFormat="1" ht="12.75">
      <c r="A52" s="541"/>
      <c r="B52" s="437"/>
      <c r="C52" s="265" t="s">
        <v>3</v>
      </c>
      <c r="D52" s="252">
        <f>+D50</f>
        <v>0</v>
      </c>
      <c r="E52" s="252">
        <f aca="true" t="shared" si="9" ref="E52:J52">+E50</f>
        <v>0</v>
      </c>
      <c r="F52" s="252">
        <f t="shared" si="9"/>
        <v>6.1</v>
      </c>
      <c r="G52" s="252">
        <f t="shared" si="9"/>
        <v>111.46</v>
      </c>
      <c r="H52" s="252">
        <f t="shared" si="9"/>
        <v>196.93</v>
      </c>
      <c r="I52" s="252">
        <f t="shared" si="9"/>
        <v>250.75</v>
      </c>
      <c r="J52" s="604">
        <f t="shared" si="9"/>
        <v>293.9</v>
      </c>
      <c r="K52" s="86">
        <f t="shared" si="0"/>
        <v>859.14</v>
      </c>
    </row>
    <row r="53" spans="1:11" s="3" customFormat="1" ht="13.5" thickBot="1">
      <c r="A53" s="542"/>
      <c r="B53" s="438"/>
      <c r="C53" s="266" t="s">
        <v>199</v>
      </c>
      <c r="D53" s="75"/>
      <c r="E53" s="75"/>
      <c r="F53" s="75">
        <f aca="true" t="shared" si="10" ref="F53:K53">F48+F49-F50</f>
        <v>2.3092638912203256E-14</v>
      </c>
      <c r="G53" s="75">
        <f t="shared" si="10"/>
        <v>0</v>
      </c>
      <c r="H53" s="75">
        <f t="shared" si="10"/>
        <v>0</v>
      </c>
      <c r="I53" s="75">
        <f t="shared" si="10"/>
        <v>9.094947017729282E-13</v>
      </c>
      <c r="J53" s="605">
        <f t="shared" si="10"/>
        <v>0</v>
      </c>
      <c r="K53" s="75">
        <f t="shared" si="10"/>
        <v>1.2505552149377763E-12</v>
      </c>
    </row>
    <row r="54" spans="1:11" s="3" customFormat="1" ht="12.75">
      <c r="A54" s="382" t="s">
        <v>11</v>
      </c>
      <c r="B54" s="436" t="s">
        <v>135</v>
      </c>
      <c r="C54" s="264" t="s">
        <v>175</v>
      </c>
      <c r="D54" s="106">
        <f>-835.05-2397.68-3424.43-20.27</f>
        <v>-6677.43</v>
      </c>
      <c r="E54" s="106">
        <v>-237.37</v>
      </c>
      <c r="F54" s="251">
        <v>-408.12</v>
      </c>
      <c r="G54" s="251">
        <v>-556.17</v>
      </c>
      <c r="H54" s="214">
        <v>-23.29</v>
      </c>
      <c r="I54" s="214">
        <v>-0.6</v>
      </c>
      <c r="J54" s="602">
        <v>-17.42</v>
      </c>
      <c r="K54" s="86">
        <f t="shared" si="0"/>
        <v>-7920.400000000001</v>
      </c>
    </row>
    <row r="55" spans="1:11" s="3" customFormat="1" ht="12.75">
      <c r="A55" s="383"/>
      <c r="B55" s="437"/>
      <c r="C55" s="265" t="s">
        <v>1</v>
      </c>
      <c r="D55" s="86">
        <f>835.05+2397.68+5923.26+20.27</f>
        <v>9176.26</v>
      </c>
      <c r="E55" s="86">
        <v>883.98</v>
      </c>
      <c r="F55" s="252">
        <v>408.12</v>
      </c>
      <c r="G55" s="252">
        <v>556.17</v>
      </c>
      <c r="H55" s="173">
        <v>23.29</v>
      </c>
      <c r="I55" s="173">
        <v>0.6</v>
      </c>
      <c r="J55" s="603">
        <v>17.42</v>
      </c>
      <c r="K55" s="86">
        <f t="shared" si="0"/>
        <v>11065.840000000002</v>
      </c>
    </row>
    <row r="56" spans="1:11" s="3" customFormat="1" ht="12.75">
      <c r="A56" s="383"/>
      <c r="B56" s="437"/>
      <c r="C56" s="265" t="s">
        <v>2</v>
      </c>
      <c r="D56" s="86">
        <f>2498.83</f>
        <v>2498.83</v>
      </c>
      <c r="E56" s="86">
        <v>646.61</v>
      </c>
      <c r="F56" s="252">
        <v>0</v>
      </c>
      <c r="G56" s="252">
        <v>0</v>
      </c>
      <c r="H56" s="252">
        <v>0</v>
      </c>
      <c r="I56" s="252">
        <v>0</v>
      </c>
      <c r="J56" s="603">
        <v>0</v>
      </c>
      <c r="K56" s="86">
        <f t="shared" si="0"/>
        <v>3145.44</v>
      </c>
    </row>
    <row r="57" spans="1:11" s="3" customFormat="1" ht="12.75">
      <c r="A57" s="383"/>
      <c r="B57" s="437"/>
      <c r="C57" s="265" t="s">
        <v>4</v>
      </c>
      <c r="D57" s="252">
        <f aca="true" t="shared" si="11" ref="D57:J58">+D55</f>
        <v>9176.26</v>
      </c>
      <c r="E57" s="252">
        <f t="shared" si="11"/>
        <v>883.98</v>
      </c>
      <c r="F57" s="252">
        <f t="shared" si="11"/>
        <v>408.12</v>
      </c>
      <c r="G57" s="252">
        <f t="shared" si="11"/>
        <v>556.17</v>
      </c>
      <c r="H57" s="252">
        <f t="shared" si="11"/>
        <v>23.29</v>
      </c>
      <c r="I57" s="252">
        <f t="shared" si="11"/>
        <v>0.6</v>
      </c>
      <c r="J57" s="604">
        <f t="shared" si="11"/>
        <v>17.42</v>
      </c>
      <c r="K57" s="86">
        <f t="shared" si="0"/>
        <v>11065.840000000002</v>
      </c>
    </row>
    <row r="58" spans="1:11" s="3" customFormat="1" ht="12.75">
      <c r="A58" s="383"/>
      <c r="B58" s="437"/>
      <c r="C58" s="265" t="s">
        <v>3</v>
      </c>
      <c r="D58" s="252">
        <f t="shared" si="11"/>
        <v>2498.83</v>
      </c>
      <c r="E58" s="252">
        <f t="shared" si="11"/>
        <v>646.61</v>
      </c>
      <c r="F58" s="252">
        <f t="shared" si="11"/>
        <v>0</v>
      </c>
      <c r="G58" s="252">
        <f t="shared" si="11"/>
        <v>0</v>
      </c>
      <c r="H58" s="252">
        <f t="shared" si="11"/>
        <v>0</v>
      </c>
      <c r="I58" s="252">
        <f t="shared" si="11"/>
        <v>0</v>
      </c>
      <c r="J58" s="604">
        <f t="shared" si="11"/>
        <v>0</v>
      </c>
      <c r="K58" s="86">
        <f t="shared" si="0"/>
        <v>3145.44</v>
      </c>
    </row>
    <row r="59" spans="1:11" s="3" customFormat="1" ht="13.5" thickBot="1">
      <c r="A59" s="383"/>
      <c r="B59" s="438"/>
      <c r="C59" s="266" t="s">
        <v>199</v>
      </c>
      <c r="D59" s="75">
        <f aca="true" t="shared" si="12" ref="D59:K59">D54+D55-D56</f>
        <v>0</v>
      </c>
      <c r="E59" s="75">
        <f t="shared" si="12"/>
        <v>0</v>
      </c>
      <c r="F59" s="75">
        <f t="shared" si="12"/>
        <v>0</v>
      </c>
      <c r="G59" s="75">
        <f t="shared" si="12"/>
        <v>0</v>
      </c>
      <c r="H59" s="75">
        <f t="shared" si="12"/>
        <v>0</v>
      </c>
      <c r="I59" s="75">
        <f t="shared" si="12"/>
        <v>0</v>
      </c>
      <c r="J59" s="605">
        <f t="shared" si="12"/>
        <v>0</v>
      </c>
      <c r="K59" s="75">
        <f t="shared" si="12"/>
        <v>0</v>
      </c>
    </row>
    <row r="60" spans="1:11" s="3" customFormat="1" ht="12.75">
      <c r="A60" s="383"/>
      <c r="B60" s="436" t="s">
        <v>134</v>
      </c>
      <c r="C60" s="264" t="s">
        <v>175</v>
      </c>
      <c r="D60" s="106">
        <f>-3779.03-128.12-1769.58</f>
        <v>-5676.73</v>
      </c>
      <c r="E60" s="106"/>
      <c r="F60" s="251"/>
      <c r="G60" s="251"/>
      <c r="H60" s="214"/>
      <c r="I60" s="214"/>
      <c r="J60" s="602"/>
      <c r="K60" s="86">
        <f t="shared" si="0"/>
        <v>-5676.73</v>
      </c>
    </row>
    <row r="61" spans="1:11" s="3" customFormat="1" ht="12.75">
      <c r="A61" s="383"/>
      <c r="B61" s="437"/>
      <c r="C61" s="265" t="s">
        <v>1</v>
      </c>
      <c r="D61" s="86">
        <f>6534.96+128.12+1769.58</f>
        <v>8432.66</v>
      </c>
      <c r="E61" s="86"/>
      <c r="F61" s="252"/>
      <c r="G61" s="252"/>
      <c r="H61" s="173"/>
      <c r="I61" s="173"/>
      <c r="J61" s="603"/>
      <c r="K61" s="86">
        <f t="shared" si="0"/>
        <v>8432.66</v>
      </c>
    </row>
    <row r="62" spans="1:11" s="3" customFormat="1" ht="12.75">
      <c r="A62" s="383"/>
      <c r="B62" s="437"/>
      <c r="C62" s="265" t="s">
        <v>2</v>
      </c>
      <c r="D62" s="86">
        <v>2755.93</v>
      </c>
      <c r="E62" s="86"/>
      <c r="F62" s="252"/>
      <c r="G62" s="252"/>
      <c r="H62" s="173"/>
      <c r="I62" s="173"/>
      <c r="J62" s="603"/>
      <c r="K62" s="86">
        <f t="shared" si="0"/>
        <v>2755.93</v>
      </c>
    </row>
    <row r="63" spans="1:11" s="3" customFormat="1" ht="12.75">
      <c r="A63" s="383"/>
      <c r="B63" s="437"/>
      <c r="C63" s="265" t="s">
        <v>4</v>
      </c>
      <c r="D63" s="252">
        <f>+D61</f>
        <v>8432.66</v>
      </c>
      <c r="E63" s="252"/>
      <c r="F63" s="252"/>
      <c r="G63" s="252"/>
      <c r="H63" s="252"/>
      <c r="I63" s="252"/>
      <c r="J63" s="604"/>
      <c r="K63" s="86">
        <f t="shared" si="0"/>
        <v>8432.66</v>
      </c>
    </row>
    <row r="64" spans="1:11" s="3" customFormat="1" ht="12.75">
      <c r="A64" s="383"/>
      <c r="B64" s="437"/>
      <c r="C64" s="265" t="s">
        <v>3</v>
      </c>
      <c r="D64" s="252">
        <f>+D62</f>
        <v>2755.93</v>
      </c>
      <c r="E64" s="252"/>
      <c r="F64" s="252"/>
      <c r="G64" s="252"/>
      <c r="H64" s="252"/>
      <c r="I64" s="252"/>
      <c r="J64" s="604"/>
      <c r="K64" s="86">
        <f t="shared" si="0"/>
        <v>2755.93</v>
      </c>
    </row>
    <row r="65" spans="1:11" s="3" customFormat="1" ht="13.5" thickBot="1">
      <c r="A65" s="384"/>
      <c r="B65" s="438"/>
      <c r="C65" s="266" t="s">
        <v>199</v>
      </c>
      <c r="D65" s="75">
        <f>D60+D61-D62</f>
        <v>0</v>
      </c>
      <c r="E65" s="75">
        <f>E60+E61-E62</f>
        <v>0</v>
      </c>
      <c r="F65" s="75"/>
      <c r="G65" s="75"/>
      <c r="H65" s="75"/>
      <c r="I65" s="75"/>
      <c r="J65" s="605"/>
      <c r="K65" s="78">
        <f t="shared" si="0"/>
        <v>0</v>
      </c>
    </row>
    <row r="66" spans="1:11" ht="12.75" customHeight="1">
      <c r="A66" s="382" t="s">
        <v>13</v>
      </c>
      <c r="B66" s="436" t="s">
        <v>14</v>
      </c>
      <c r="C66" s="264" t="s">
        <v>175</v>
      </c>
      <c r="D66" s="251">
        <v>40897.7</v>
      </c>
      <c r="E66" s="251">
        <v>3005.14</v>
      </c>
      <c r="F66" s="251">
        <v>-384.29</v>
      </c>
      <c r="G66" s="251">
        <v>-709.36</v>
      </c>
      <c r="H66" s="106"/>
      <c r="I66" s="106"/>
      <c r="J66" s="610"/>
      <c r="K66" s="90">
        <f t="shared" si="0"/>
        <v>42809.189999999995</v>
      </c>
    </row>
    <row r="67" spans="1:11" ht="12.75">
      <c r="A67" s="383"/>
      <c r="B67" s="437"/>
      <c r="C67" s="265" t="s">
        <v>1</v>
      </c>
      <c r="D67" s="252">
        <v>270053.61</v>
      </c>
      <c r="E67" s="252">
        <v>107180.44</v>
      </c>
      <c r="F67" s="252"/>
      <c r="G67" s="252"/>
      <c r="H67" s="86"/>
      <c r="I67" s="86"/>
      <c r="J67" s="611"/>
      <c r="K67" s="86">
        <f t="shared" si="0"/>
        <v>377234.05</v>
      </c>
    </row>
    <row r="68" spans="1:11" ht="12.75">
      <c r="A68" s="383"/>
      <c r="B68" s="437"/>
      <c r="C68" s="265" t="s">
        <v>2</v>
      </c>
      <c r="D68" s="252">
        <v>289178.72</v>
      </c>
      <c r="E68" s="252">
        <v>107257.41</v>
      </c>
      <c r="F68" s="252"/>
      <c r="G68" s="252"/>
      <c r="H68" s="86"/>
      <c r="I68" s="86"/>
      <c r="J68" s="611"/>
      <c r="K68" s="86">
        <f t="shared" si="0"/>
        <v>396436.13</v>
      </c>
    </row>
    <row r="69" spans="1:11" ht="12.75">
      <c r="A69" s="383"/>
      <c r="B69" s="437"/>
      <c r="C69" s="265" t="s">
        <v>4</v>
      </c>
      <c r="D69" s="252">
        <f>+D67</f>
        <v>270053.61</v>
      </c>
      <c r="E69" s="252">
        <f>+E67</f>
        <v>107180.44</v>
      </c>
      <c r="F69" s="252"/>
      <c r="G69" s="252"/>
      <c r="H69" s="252"/>
      <c r="I69" s="252"/>
      <c r="J69" s="604"/>
      <c r="K69" s="86">
        <f t="shared" si="0"/>
        <v>377234.05</v>
      </c>
    </row>
    <row r="70" spans="1:11" ht="12.75">
      <c r="A70" s="383"/>
      <c r="B70" s="437"/>
      <c r="C70" s="265" t="s">
        <v>3</v>
      </c>
      <c r="D70" s="252">
        <f>+D68</f>
        <v>289178.72</v>
      </c>
      <c r="E70" s="252">
        <f>E68</f>
        <v>107257.41</v>
      </c>
      <c r="F70" s="252"/>
      <c r="G70" s="252"/>
      <c r="H70" s="252"/>
      <c r="I70" s="252"/>
      <c r="J70" s="604"/>
      <c r="K70" s="86">
        <f t="shared" si="0"/>
        <v>396436.13</v>
      </c>
    </row>
    <row r="71" spans="1:11" s="3" customFormat="1" ht="13.5" thickBot="1">
      <c r="A71" s="383"/>
      <c r="B71" s="438"/>
      <c r="C71" s="266" t="s">
        <v>199</v>
      </c>
      <c r="D71" s="75">
        <f>D66+D67-D68</f>
        <v>21772.590000000026</v>
      </c>
      <c r="E71" s="75">
        <f>E66+E67-E68</f>
        <v>2928.1699999999983</v>
      </c>
      <c r="F71" s="75">
        <f>F66+F67-F68</f>
        <v>-384.29</v>
      </c>
      <c r="G71" s="75">
        <f>G66+G67-G68</f>
        <v>-709.36</v>
      </c>
      <c r="H71" s="75"/>
      <c r="I71" s="75"/>
      <c r="J71" s="605"/>
      <c r="K71" s="78">
        <f t="shared" si="0"/>
        <v>23607.110000000022</v>
      </c>
    </row>
    <row r="72" spans="1:11" ht="12.75">
      <c r="A72" s="383"/>
      <c r="B72" s="436" t="s">
        <v>15</v>
      </c>
      <c r="C72" s="264" t="s">
        <v>175</v>
      </c>
      <c r="D72" s="251">
        <f>8561.2-28.61</f>
        <v>8532.59</v>
      </c>
      <c r="E72" s="251">
        <v>2617.57</v>
      </c>
      <c r="F72" s="251">
        <v>-76.39</v>
      </c>
      <c r="G72" s="251">
        <v>-151.17</v>
      </c>
      <c r="H72" s="106"/>
      <c r="I72" s="106"/>
      <c r="J72" s="610"/>
      <c r="K72" s="90">
        <f t="shared" si="0"/>
        <v>10922.6</v>
      </c>
    </row>
    <row r="73" spans="1:11" ht="12.75">
      <c r="A73" s="383"/>
      <c r="B73" s="437"/>
      <c r="C73" s="265" t="s">
        <v>1</v>
      </c>
      <c r="D73" s="252">
        <f>28.61+62154.24</f>
        <v>62182.85</v>
      </c>
      <c r="E73" s="252">
        <v>25271.04</v>
      </c>
      <c r="F73" s="252">
        <v>76.39</v>
      </c>
      <c r="G73" s="252">
        <v>151.17</v>
      </c>
      <c r="H73" s="86"/>
      <c r="I73" s="86"/>
      <c r="J73" s="611"/>
      <c r="K73" s="86">
        <f aca="true" t="shared" si="13" ref="K73:K101">SUM(D73:J73)</f>
        <v>87681.45</v>
      </c>
    </row>
    <row r="74" spans="1:11" ht="12.75">
      <c r="A74" s="383"/>
      <c r="B74" s="437"/>
      <c r="C74" s="265" t="s">
        <v>2</v>
      </c>
      <c r="D74" s="252">
        <v>65508.4</v>
      </c>
      <c r="E74" s="252">
        <v>26125.79</v>
      </c>
      <c r="F74" s="252">
        <v>0</v>
      </c>
      <c r="G74" s="252">
        <v>0</v>
      </c>
      <c r="H74" s="86"/>
      <c r="I74" s="86"/>
      <c r="J74" s="611"/>
      <c r="K74" s="86">
        <f t="shared" si="13"/>
        <v>91634.19</v>
      </c>
    </row>
    <row r="75" spans="1:11" ht="12.75">
      <c r="A75" s="383"/>
      <c r="B75" s="437"/>
      <c r="C75" s="265" t="s">
        <v>4</v>
      </c>
      <c r="D75" s="252">
        <f aca="true" t="shared" si="14" ref="D75:G76">+D73</f>
        <v>62182.85</v>
      </c>
      <c r="E75" s="252">
        <f t="shared" si="14"/>
        <v>25271.04</v>
      </c>
      <c r="F75" s="252">
        <f t="shared" si="14"/>
        <v>76.39</v>
      </c>
      <c r="G75" s="252">
        <f t="shared" si="14"/>
        <v>151.17</v>
      </c>
      <c r="H75" s="252"/>
      <c r="I75" s="252"/>
      <c r="J75" s="604"/>
      <c r="K75" s="86">
        <f t="shared" si="13"/>
        <v>87681.45</v>
      </c>
    </row>
    <row r="76" spans="1:11" ht="12.75">
      <c r="A76" s="383"/>
      <c r="B76" s="437"/>
      <c r="C76" s="265" t="s">
        <v>3</v>
      </c>
      <c r="D76" s="252">
        <f t="shared" si="14"/>
        <v>65508.4</v>
      </c>
      <c r="E76" s="252">
        <f t="shared" si="14"/>
        <v>26125.79</v>
      </c>
      <c r="F76" s="252">
        <f t="shared" si="14"/>
        <v>0</v>
      </c>
      <c r="G76" s="252">
        <f t="shared" si="14"/>
        <v>0</v>
      </c>
      <c r="H76" s="252"/>
      <c r="I76" s="252"/>
      <c r="J76" s="604"/>
      <c r="K76" s="86">
        <f t="shared" si="13"/>
        <v>91634.19</v>
      </c>
    </row>
    <row r="77" spans="1:11" s="3" customFormat="1" ht="13.5" thickBot="1">
      <c r="A77" s="384"/>
      <c r="B77" s="438"/>
      <c r="C77" s="266" t="s">
        <v>199</v>
      </c>
      <c r="D77" s="75">
        <f>D72+D73-D74</f>
        <v>5207.040000000001</v>
      </c>
      <c r="E77" s="75">
        <f>E72+E73-E74</f>
        <v>1762.8199999999997</v>
      </c>
      <c r="F77" s="75">
        <f>F72+F73-F74</f>
        <v>0</v>
      </c>
      <c r="G77" s="75">
        <f>G72+G73-G74</f>
        <v>0</v>
      </c>
      <c r="H77" s="75"/>
      <c r="I77" s="75"/>
      <c r="J77" s="605"/>
      <c r="K77" s="78">
        <f t="shared" si="13"/>
        <v>6969.860000000001</v>
      </c>
    </row>
    <row r="78" spans="1:11" s="3" customFormat="1" ht="12.75">
      <c r="A78" s="382" t="s">
        <v>62</v>
      </c>
      <c r="B78" s="436" t="s">
        <v>10</v>
      </c>
      <c r="C78" s="264" t="s">
        <v>175</v>
      </c>
      <c r="D78" s="106"/>
      <c r="E78" s="106"/>
      <c r="F78" s="251">
        <v>25685.66</v>
      </c>
      <c r="G78" s="251">
        <v>11974.98</v>
      </c>
      <c r="H78" s="214">
        <v>164098.7</v>
      </c>
      <c r="I78" s="283">
        <v>235066.94</v>
      </c>
      <c r="J78" s="612">
        <v>254455.4</v>
      </c>
      <c r="K78" s="90">
        <f t="shared" si="13"/>
        <v>691281.68</v>
      </c>
    </row>
    <row r="79" spans="1:11" s="3" customFormat="1" ht="12.75">
      <c r="A79" s="383"/>
      <c r="B79" s="437"/>
      <c r="C79" s="265" t="s">
        <v>1</v>
      </c>
      <c r="D79" s="86"/>
      <c r="E79" s="86"/>
      <c r="F79" s="252">
        <v>638388.484</v>
      </c>
      <c r="G79" s="252">
        <v>891419.04</v>
      </c>
      <c r="H79" s="173">
        <v>395124.3</v>
      </c>
      <c r="I79" s="284">
        <v>389018.82</v>
      </c>
      <c r="J79" s="613">
        <v>385642.02</v>
      </c>
      <c r="K79" s="86">
        <f t="shared" si="13"/>
        <v>2699592.6640000003</v>
      </c>
    </row>
    <row r="80" spans="1:11" s="3" customFormat="1" ht="12.75">
      <c r="A80" s="383"/>
      <c r="B80" s="437"/>
      <c r="C80" s="265" t="s">
        <v>2</v>
      </c>
      <c r="D80" s="86"/>
      <c r="E80" s="86"/>
      <c r="F80" s="252">
        <v>567917.07</v>
      </c>
      <c r="G80" s="252">
        <v>832076.46</v>
      </c>
      <c r="H80" s="173">
        <v>352150.6</v>
      </c>
      <c r="I80" s="284">
        <v>304178.27</v>
      </c>
      <c r="J80" s="613">
        <v>284383.69</v>
      </c>
      <c r="K80" s="86">
        <f t="shared" si="13"/>
        <v>2340706.09</v>
      </c>
    </row>
    <row r="81" spans="1:11" s="3" customFormat="1" ht="12.75">
      <c r="A81" s="383"/>
      <c r="B81" s="437"/>
      <c r="C81" s="265" t="s">
        <v>4</v>
      </c>
      <c r="D81" s="252"/>
      <c r="E81" s="252"/>
      <c r="F81" s="252">
        <f aca="true" t="shared" si="15" ref="F81:J82">+F79</f>
        <v>638388.484</v>
      </c>
      <c r="G81" s="252">
        <f t="shared" si="15"/>
        <v>891419.04</v>
      </c>
      <c r="H81" s="252">
        <f t="shared" si="15"/>
        <v>395124.3</v>
      </c>
      <c r="I81" s="252">
        <f t="shared" si="15"/>
        <v>389018.82</v>
      </c>
      <c r="J81" s="604">
        <f t="shared" si="15"/>
        <v>385642.02</v>
      </c>
      <c r="K81" s="86">
        <f t="shared" si="13"/>
        <v>2699592.6640000003</v>
      </c>
    </row>
    <row r="82" spans="1:11" s="3" customFormat="1" ht="12.75">
      <c r="A82" s="383"/>
      <c r="B82" s="437"/>
      <c r="C82" s="265" t="s">
        <v>3</v>
      </c>
      <c r="D82" s="252"/>
      <c r="E82" s="252"/>
      <c r="F82" s="252">
        <f t="shared" si="15"/>
        <v>567917.07</v>
      </c>
      <c r="G82" s="252">
        <v>852971.79</v>
      </c>
      <c r="H82" s="252">
        <f t="shared" si="15"/>
        <v>352150.6</v>
      </c>
      <c r="I82" s="252">
        <f t="shared" si="15"/>
        <v>304178.27</v>
      </c>
      <c r="J82" s="604">
        <f t="shared" si="15"/>
        <v>284383.69</v>
      </c>
      <c r="K82" s="86">
        <f t="shared" si="13"/>
        <v>2361601.42</v>
      </c>
    </row>
    <row r="83" spans="1:11" s="3" customFormat="1" ht="13.5" thickBot="1">
      <c r="A83" s="383"/>
      <c r="B83" s="438"/>
      <c r="C83" s="266" t="s">
        <v>199</v>
      </c>
      <c r="D83" s="239"/>
      <c r="E83" s="239"/>
      <c r="F83" s="239">
        <f aca="true" t="shared" si="16" ref="F83:K83">F78+F79-F80</f>
        <v>96157.07400000014</v>
      </c>
      <c r="G83" s="239">
        <f t="shared" si="16"/>
        <v>71317.56000000006</v>
      </c>
      <c r="H83" s="239">
        <f t="shared" si="16"/>
        <v>207072.40000000002</v>
      </c>
      <c r="I83" s="239">
        <f t="shared" si="16"/>
        <v>319907.49</v>
      </c>
      <c r="J83" s="614">
        <f t="shared" si="16"/>
        <v>355713.73000000004</v>
      </c>
      <c r="K83" s="239">
        <f t="shared" si="16"/>
        <v>1050168.2540000007</v>
      </c>
    </row>
    <row r="84" spans="1:11" s="3" customFormat="1" ht="12.75">
      <c r="A84" s="383"/>
      <c r="B84" s="436" t="s">
        <v>12</v>
      </c>
      <c r="C84" s="264" t="s">
        <v>175</v>
      </c>
      <c r="D84" s="106"/>
      <c r="E84" s="106"/>
      <c r="F84" s="251">
        <v>15072.21</v>
      </c>
      <c r="G84" s="251">
        <v>7477.88</v>
      </c>
      <c r="H84" s="214">
        <v>90168.36</v>
      </c>
      <c r="I84" s="283">
        <v>20998.99</v>
      </c>
      <c r="J84" s="612">
        <v>21122.44</v>
      </c>
      <c r="K84" s="86">
        <f t="shared" si="13"/>
        <v>154839.88</v>
      </c>
    </row>
    <row r="85" spans="1:11" s="3" customFormat="1" ht="12.75">
      <c r="A85" s="383"/>
      <c r="B85" s="437"/>
      <c r="C85" s="265" t="s">
        <v>1</v>
      </c>
      <c r="D85" s="86"/>
      <c r="E85" s="86"/>
      <c r="F85" s="252">
        <v>64002.3</v>
      </c>
      <c r="G85" s="252">
        <v>74546.87</v>
      </c>
      <c r="H85" s="173">
        <v>93935.75</v>
      </c>
      <c r="I85" s="284">
        <v>24487.32</v>
      </c>
      <c r="J85" s="613">
        <v>24383.79</v>
      </c>
      <c r="K85" s="86">
        <f t="shared" si="13"/>
        <v>281356.02999999997</v>
      </c>
    </row>
    <row r="86" spans="1:11" s="3" customFormat="1" ht="12.75">
      <c r="A86" s="383"/>
      <c r="B86" s="437"/>
      <c r="C86" s="265" t="s">
        <v>2</v>
      </c>
      <c r="D86" s="86"/>
      <c r="E86" s="86"/>
      <c r="F86" s="252">
        <v>59768.15</v>
      </c>
      <c r="G86" s="252">
        <v>60996.31</v>
      </c>
      <c r="H86" s="173">
        <v>79457.55</v>
      </c>
      <c r="I86" s="284">
        <v>16582.97</v>
      </c>
      <c r="J86" s="613">
        <v>16227.25</v>
      </c>
      <c r="K86" s="86">
        <f t="shared" si="13"/>
        <v>233032.23</v>
      </c>
    </row>
    <row r="87" spans="1:11" s="3" customFormat="1" ht="12.75">
      <c r="A87" s="383"/>
      <c r="B87" s="437"/>
      <c r="C87" s="265" t="s">
        <v>4</v>
      </c>
      <c r="D87" s="252"/>
      <c r="E87" s="252"/>
      <c r="F87" s="252">
        <f aca="true" t="shared" si="17" ref="F87:J88">+F85</f>
        <v>64002.3</v>
      </c>
      <c r="G87" s="252">
        <f t="shared" si="17"/>
        <v>74546.87</v>
      </c>
      <c r="H87" s="252">
        <f t="shared" si="17"/>
        <v>93935.75</v>
      </c>
      <c r="I87" s="252">
        <f t="shared" si="17"/>
        <v>24487.32</v>
      </c>
      <c r="J87" s="604">
        <f t="shared" si="17"/>
        <v>24383.79</v>
      </c>
      <c r="K87" s="86">
        <f t="shared" si="13"/>
        <v>281356.02999999997</v>
      </c>
    </row>
    <row r="88" spans="1:11" s="3" customFormat="1" ht="12.75">
      <c r="A88" s="383"/>
      <c r="B88" s="437"/>
      <c r="C88" s="265" t="s">
        <v>3</v>
      </c>
      <c r="D88" s="252"/>
      <c r="E88" s="252"/>
      <c r="F88" s="252">
        <f t="shared" si="17"/>
        <v>59768.15</v>
      </c>
      <c r="G88" s="252">
        <f>G87+G84</f>
        <v>82024.75</v>
      </c>
      <c r="H88" s="252">
        <f t="shared" si="17"/>
        <v>79457.55</v>
      </c>
      <c r="I88" s="252">
        <f t="shared" si="17"/>
        <v>16582.97</v>
      </c>
      <c r="J88" s="604">
        <f t="shared" si="17"/>
        <v>16227.25</v>
      </c>
      <c r="K88" s="86">
        <f t="shared" si="13"/>
        <v>254060.67</v>
      </c>
    </row>
    <row r="89" spans="1:11" s="3" customFormat="1" ht="13.5" thickBot="1">
      <c r="A89" s="383"/>
      <c r="B89" s="438"/>
      <c r="C89" s="266" t="s">
        <v>199</v>
      </c>
      <c r="D89" s="239"/>
      <c r="E89" s="239"/>
      <c r="F89" s="239">
        <f aca="true" t="shared" si="18" ref="F89:K89">F84+F85-F86</f>
        <v>19306.360000000008</v>
      </c>
      <c r="G89" s="239">
        <f t="shared" si="18"/>
        <v>21028.440000000002</v>
      </c>
      <c r="H89" s="239">
        <f t="shared" si="18"/>
        <v>104646.55999999998</v>
      </c>
      <c r="I89" s="239">
        <f t="shared" si="18"/>
        <v>28903.339999999997</v>
      </c>
      <c r="J89" s="614">
        <f t="shared" si="18"/>
        <v>29278.979999999996</v>
      </c>
      <c r="K89" s="239">
        <f t="shared" si="18"/>
        <v>203163.67999999996</v>
      </c>
    </row>
    <row r="90" spans="1:11" s="3" customFormat="1" ht="12.75">
      <c r="A90" s="523"/>
      <c r="B90" s="436" t="s">
        <v>124</v>
      </c>
      <c r="C90" s="264" t="s">
        <v>175</v>
      </c>
      <c r="D90" s="249"/>
      <c r="E90" s="249"/>
      <c r="F90" s="251">
        <v>-16.71</v>
      </c>
      <c r="G90" s="251">
        <v>-39.93</v>
      </c>
      <c r="H90" s="214">
        <v>84.68</v>
      </c>
      <c r="I90" s="283">
        <v>246.19</v>
      </c>
      <c r="J90" s="612">
        <v>215.1</v>
      </c>
      <c r="K90" s="86">
        <f t="shared" si="13"/>
        <v>489.33000000000004</v>
      </c>
    </row>
    <row r="91" spans="1:11" s="3" customFormat="1" ht="12.75">
      <c r="A91" s="523"/>
      <c r="B91" s="437"/>
      <c r="C91" s="265" t="s">
        <v>1</v>
      </c>
      <c r="D91" s="120"/>
      <c r="E91" s="120"/>
      <c r="F91" s="252">
        <v>17.16</v>
      </c>
      <c r="G91" s="252">
        <v>50.27</v>
      </c>
      <c r="H91" s="173">
        <v>-72.26</v>
      </c>
      <c r="I91" s="284">
        <v>-229.06</v>
      </c>
      <c r="J91" s="613">
        <v>-191.02</v>
      </c>
      <c r="K91" s="86">
        <f t="shared" si="13"/>
        <v>-424.90999999999997</v>
      </c>
    </row>
    <row r="92" spans="1:11" s="3" customFormat="1" ht="12.75">
      <c r="A92" s="523"/>
      <c r="B92" s="437"/>
      <c r="C92" s="265" t="s">
        <v>2</v>
      </c>
      <c r="D92" s="120"/>
      <c r="E92" s="120"/>
      <c r="F92" s="252">
        <v>0.45</v>
      </c>
      <c r="G92" s="252">
        <v>10.34</v>
      </c>
      <c r="H92" s="173">
        <v>12.41</v>
      </c>
      <c r="I92" s="284">
        <v>17.13</v>
      </c>
      <c r="J92" s="613">
        <v>24.08</v>
      </c>
      <c r="K92" s="86">
        <f t="shared" si="13"/>
        <v>64.41</v>
      </c>
    </row>
    <row r="93" spans="1:11" s="3" customFormat="1" ht="12.75">
      <c r="A93" s="523"/>
      <c r="B93" s="437"/>
      <c r="C93" s="265" t="s">
        <v>4</v>
      </c>
      <c r="D93" s="252"/>
      <c r="E93" s="252"/>
      <c r="F93" s="252">
        <f aca="true" t="shared" si="19" ref="F93:J94">+F91</f>
        <v>17.16</v>
      </c>
      <c r="G93" s="252">
        <f t="shared" si="19"/>
        <v>50.27</v>
      </c>
      <c r="H93" s="252">
        <f t="shared" si="19"/>
        <v>-72.26</v>
      </c>
      <c r="I93" s="252">
        <f t="shared" si="19"/>
        <v>-229.06</v>
      </c>
      <c r="J93" s="604">
        <f t="shared" si="19"/>
        <v>-191.02</v>
      </c>
      <c r="K93" s="86">
        <f t="shared" si="13"/>
        <v>-424.90999999999997</v>
      </c>
    </row>
    <row r="94" spans="1:11" s="3" customFormat="1" ht="12.75">
      <c r="A94" s="523"/>
      <c r="B94" s="437"/>
      <c r="C94" s="265" t="s">
        <v>3</v>
      </c>
      <c r="D94" s="252"/>
      <c r="E94" s="252"/>
      <c r="F94" s="252">
        <f t="shared" si="19"/>
        <v>0.45</v>
      </c>
      <c r="G94" s="252">
        <f t="shared" si="19"/>
        <v>10.34</v>
      </c>
      <c r="H94" s="252">
        <f t="shared" si="19"/>
        <v>12.41</v>
      </c>
      <c r="I94" s="252">
        <f t="shared" si="19"/>
        <v>17.13</v>
      </c>
      <c r="J94" s="604">
        <f t="shared" si="19"/>
        <v>24.08</v>
      </c>
      <c r="K94" s="86">
        <f t="shared" si="13"/>
        <v>64.41</v>
      </c>
    </row>
    <row r="95" spans="1:11" s="3" customFormat="1" ht="13.5" thickBot="1">
      <c r="A95" s="524"/>
      <c r="B95" s="438"/>
      <c r="C95" s="266" t="s">
        <v>199</v>
      </c>
      <c r="D95" s="75"/>
      <c r="E95" s="75"/>
      <c r="F95" s="75">
        <f aca="true" t="shared" si="20" ref="F95:K95">F90+F91-F92</f>
        <v>-7.216449660063518E-16</v>
      </c>
      <c r="G95" s="75">
        <f t="shared" si="20"/>
        <v>0</v>
      </c>
      <c r="H95" s="75">
        <f t="shared" si="20"/>
        <v>0.010000000000001563</v>
      </c>
      <c r="I95" s="75">
        <f t="shared" si="20"/>
        <v>0</v>
      </c>
      <c r="J95" s="605">
        <f t="shared" si="20"/>
        <v>0</v>
      </c>
      <c r="K95" s="75">
        <f t="shared" si="20"/>
        <v>0.01000000000007617</v>
      </c>
    </row>
    <row r="96" spans="1:11" ht="13.5" customHeight="1">
      <c r="A96" s="382" t="s">
        <v>17</v>
      </c>
      <c r="B96" s="436" t="s">
        <v>16</v>
      </c>
      <c r="C96" s="264" t="s">
        <v>175</v>
      </c>
      <c r="D96" s="251">
        <v>29839.59</v>
      </c>
      <c r="E96" s="251">
        <v>9026.06</v>
      </c>
      <c r="F96" s="251">
        <v>2501.77</v>
      </c>
      <c r="G96" s="251">
        <v>7578.91</v>
      </c>
      <c r="H96" s="214">
        <v>9074.68</v>
      </c>
      <c r="I96" s="214">
        <v>65250.04</v>
      </c>
      <c r="J96" s="602">
        <v>14196.89</v>
      </c>
      <c r="K96" s="86">
        <f t="shared" si="13"/>
        <v>137467.94</v>
      </c>
    </row>
    <row r="97" spans="1:11" ht="12.75">
      <c r="A97" s="383"/>
      <c r="B97" s="437"/>
      <c r="C97" s="265" t="s">
        <v>1</v>
      </c>
      <c r="D97" s="252">
        <v>219702.8</v>
      </c>
      <c r="E97" s="252">
        <v>87486.38</v>
      </c>
      <c r="F97" s="252">
        <v>32032.08</v>
      </c>
      <c r="G97" s="252">
        <v>44738.97</v>
      </c>
      <c r="H97" s="173">
        <v>19233.12</v>
      </c>
      <c r="I97" s="173">
        <v>86363.04</v>
      </c>
      <c r="J97" s="603">
        <v>19359.24</v>
      </c>
      <c r="K97" s="86">
        <f t="shared" si="13"/>
        <v>508915.62999999995</v>
      </c>
    </row>
    <row r="98" spans="1:11" ht="12.75">
      <c r="A98" s="383"/>
      <c r="B98" s="437"/>
      <c r="C98" s="265" t="s">
        <v>2</v>
      </c>
      <c r="D98" s="252">
        <v>231455.17</v>
      </c>
      <c r="E98" s="252">
        <v>90409.18</v>
      </c>
      <c r="F98" s="252">
        <v>29773.15</v>
      </c>
      <c r="G98" s="252">
        <v>48573.2</v>
      </c>
      <c r="H98" s="173">
        <v>17306.83</v>
      </c>
      <c r="I98" s="173">
        <v>68399.94</v>
      </c>
      <c r="J98" s="603">
        <v>14510.37</v>
      </c>
      <c r="K98" s="86">
        <f t="shared" si="13"/>
        <v>500427.84</v>
      </c>
    </row>
    <row r="99" spans="1:11" ht="12.75">
      <c r="A99" s="383"/>
      <c r="B99" s="437"/>
      <c r="C99" s="265" t="s">
        <v>4</v>
      </c>
      <c r="D99" s="252">
        <f>+D97</f>
        <v>219702.8</v>
      </c>
      <c r="E99" s="252">
        <f aca="true" t="shared" si="21" ref="E99:J99">+E97</f>
        <v>87486.38</v>
      </c>
      <c r="F99" s="252">
        <f t="shared" si="21"/>
        <v>32032.08</v>
      </c>
      <c r="G99" s="252">
        <f t="shared" si="21"/>
        <v>44738.97</v>
      </c>
      <c r="H99" s="252">
        <f t="shared" si="21"/>
        <v>19233.12</v>
      </c>
      <c r="I99" s="252">
        <f t="shared" si="21"/>
        <v>86363.04</v>
      </c>
      <c r="J99" s="604">
        <f t="shared" si="21"/>
        <v>19359.24</v>
      </c>
      <c r="K99" s="86">
        <f t="shared" si="13"/>
        <v>508915.62999999995</v>
      </c>
    </row>
    <row r="100" spans="1:11" ht="12.75">
      <c r="A100" s="383"/>
      <c r="B100" s="437"/>
      <c r="C100" s="265" t="s">
        <v>3</v>
      </c>
      <c r="D100" s="252">
        <f>D99+D96</f>
        <v>249542.38999999998</v>
      </c>
      <c r="E100" s="252">
        <f aca="true" t="shared" si="22" ref="E100:J100">+E98</f>
        <v>90409.18</v>
      </c>
      <c r="F100" s="252">
        <f t="shared" si="22"/>
        <v>29773.15</v>
      </c>
      <c r="G100" s="252">
        <f>G99+G96</f>
        <v>52317.880000000005</v>
      </c>
      <c r="H100" s="252">
        <f t="shared" si="22"/>
        <v>17306.83</v>
      </c>
      <c r="I100" s="252">
        <f t="shared" si="22"/>
        <v>68399.94</v>
      </c>
      <c r="J100" s="604">
        <f t="shared" si="22"/>
        <v>14510.37</v>
      </c>
      <c r="K100" s="86">
        <f t="shared" si="13"/>
        <v>522259.74</v>
      </c>
    </row>
    <row r="101" spans="1:11" s="3" customFormat="1" ht="13.5" thickBot="1">
      <c r="A101" s="383"/>
      <c r="B101" s="453"/>
      <c r="C101" s="268" t="s">
        <v>199</v>
      </c>
      <c r="D101" s="114">
        <f aca="true" t="shared" si="23" ref="D101:J101">D96+D97-D98</f>
        <v>18087.219999999972</v>
      </c>
      <c r="E101" s="114">
        <f>E96+E97-E98</f>
        <v>6103.260000000009</v>
      </c>
      <c r="F101" s="114">
        <f t="shared" si="23"/>
        <v>4760.699999999997</v>
      </c>
      <c r="G101" s="114">
        <f t="shared" si="23"/>
        <v>3744.6800000000076</v>
      </c>
      <c r="H101" s="114">
        <f t="shared" si="23"/>
        <v>11000.969999999998</v>
      </c>
      <c r="I101" s="114">
        <f t="shared" si="23"/>
        <v>83213.13999999998</v>
      </c>
      <c r="J101" s="608">
        <f t="shared" si="23"/>
        <v>19045.760000000002</v>
      </c>
      <c r="K101" s="111">
        <f t="shared" si="13"/>
        <v>145955.72999999998</v>
      </c>
    </row>
    <row r="102" spans="1:11" ht="13.5" customHeight="1">
      <c r="A102" s="465" t="s">
        <v>188</v>
      </c>
      <c r="B102" s="393"/>
      <c r="C102" s="393"/>
      <c r="D102" s="121"/>
      <c r="E102" s="121"/>
      <c r="F102" s="121"/>
      <c r="G102" s="121"/>
      <c r="H102" s="121"/>
      <c r="I102" s="121"/>
      <c r="J102" s="615"/>
      <c r="K102" s="358"/>
    </row>
    <row r="103" spans="1:11" ht="12.75" customHeight="1">
      <c r="A103" s="530"/>
      <c r="B103" s="530"/>
      <c r="C103" s="362" t="s">
        <v>175</v>
      </c>
      <c r="D103" s="122">
        <f>D6+D12+D18+D24+D30+D36+D42+D66+D72+D78+D84+D90+D96+D54+D60+D48</f>
        <v>743516.0399999998</v>
      </c>
      <c r="E103" s="122">
        <f aca="true" t="shared" si="24" ref="E103:J103">E6+E12+E18+E24+E30+E36+E42+E66+E72+E78+E84+E90+E96+E54+E60+E48</f>
        <v>386765.54</v>
      </c>
      <c r="F103" s="122">
        <f t="shared" si="24"/>
        <v>63474.02</v>
      </c>
      <c r="G103" s="122">
        <f t="shared" si="24"/>
        <v>74528.46</v>
      </c>
      <c r="H103" s="122">
        <f t="shared" si="24"/>
        <v>515686.08</v>
      </c>
      <c r="I103" s="122">
        <f t="shared" si="24"/>
        <v>365567.77999999997</v>
      </c>
      <c r="J103" s="616">
        <f t="shared" si="24"/>
        <v>357610.56</v>
      </c>
      <c r="K103" s="122">
        <f aca="true" t="shared" si="25" ref="K103:K108">K6+K12+K18+K24+K30+K36+K42+K66+K72+K78+K84+K90+K96+K54+K60+K48</f>
        <v>2507148.48</v>
      </c>
    </row>
    <row r="104" spans="1:11" ht="12.75">
      <c r="A104" s="531"/>
      <c r="B104" s="531"/>
      <c r="C104" s="270" t="s">
        <v>1</v>
      </c>
      <c r="D104" s="122">
        <f aca="true" t="shared" si="26" ref="D104:J108">D7+D13+D19+D25+D31+D37+D43+D67+D73+D79+D85+D91+D97+D55+D61+D49</f>
        <v>4956106.75</v>
      </c>
      <c r="E104" s="122">
        <f t="shared" si="26"/>
        <v>2469092.5799999996</v>
      </c>
      <c r="F104" s="122">
        <f t="shared" si="26"/>
        <v>889406.964</v>
      </c>
      <c r="G104" s="122">
        <f t="shared" si="26"/>
        <v>1215537.58</v>
      </c>
      <c r="H104" s="122">
        <f t="shared" si="26"/>
        <v>780588.1200000001</v>
      </c>
      <c r="I104" s="122">
        <f t="shared" si="26"/>
        <v>540537.23</v>
      </c>
      <c r="J104" s="616">
        <f t="shared" si="26"/>
        <v>502461.39999999997</v>
      </c>
      <c r="K104" s="122">
        <f t="shared" si="25"/>
        <v>11353730.624</v>
      </c>
    </row>
    <row r="105" spans="1:11" ht="12.75">
      <c r="A105" s="531"/>
      <c r="B105" s="531"/>
      <c r="C105" s="270" t="s">
        <v>2</v>
      </c>
      <c r="D105" s="122">
        <f t="shared" si="26"/>
        <v>5862826.82</v>
      </c>
      <c r="E105" s="122">
        <f t="shared" si="26"/>
        <v>2482897.5500000003</v>
      </c>
      <c r="F105" s="122">
        <f t="shared" si="26"/>
        <v>796896.1699999999</v>
      </c>
      <c r="G105" s="122">
        <f t="shared" si="26"/>
        <v>1125487.99</v>
      </c>
      <c r="H105" s="122">
        <f t="shared" si="26"/>
        <v>680418.1900000001</v>
      </c>
      <c r="I105" s="122">
        <f t="shared" si="26"/>
        <v>424564.12000000005</v>
      </c>
      <c r="J105" s="616">
        <f t="shared" si="26"/>
        <v>367805.38000000006</v>
      </c>
      <c r="K105" s="122">
        <f t="shared" si="25"/>
        <v>11740896.22</v>
      </c>
    </row>
    <row r="106" spans="1:11" ht="12.75">
      <c r="A106" s="531"/>
      <c r="B106" s="531"/>
      <c r="C106" s="270" t="s">
        <v>4</v>
      </c>
      <c r="D106" s="122">
        <f t="shared" si="26"/>
        <v>4956106.75</v>
      </c>
      <c r="E106" s="122">
        <f t="shared" si="26"/>
        <v>2469092.5799999996</v>
      </c>
      <c r="F106" s="122">
        <f t="shared" si="26"/>
        <v>889406.964</v>
      </c>
      <c r="G106" s="122">
        <f t="shared" si="26"/>
        <v>1215537.58</v>
      </c>
      <c r="H106" s="122">
        <f t="shared" si="26"/>
        <v>780588.1200000001</v>
      </c>
      <c r="I106" s="122">
        <f t="shared" si="26"/>
        <v>540537.23</v>
      </c>
      <c r="J106" s="616">
        <f t="shared" si="26"/>
        <v>502461.39999999997</v>
      </c>
      <c r="K106" s="122">
        <f t="shared" si="25"/>
        <v>11353730.624</v>
      </c>
    </row>
    <row r="107" spans="1:11" ht="12.75">
      <c r="A107" s="531"/>
      <c r="B107" s="531"/>
      <c r="C107" s="270" t="s">
        <v>3</v>
      </c>
      <c r="D107" s="122">
        <f t="shared" si="26"/>
        <v>6023172.27</v>
      </c>
      <c r="E107" s="122">
        <f t="shared" si="26"/>
        <v>2482897.5500000003</v>
      </c>
      <c r="F107" s="122">
        <f t="shared" si="26"/>
        <v>796896.1699999999</v>
      </c>
      <c r="G107" s="122">
        <f t="shared" si="26"/>
        <v>1171156.44</v>
      </c>
      <c r="H107" s="122">
        <f t="shared" si="26"/>
        <v>680418.1900000001</v>
      </c>
      <c r="I107" s="122">
        <f t="shared" si="26"/>
        <v>424564.12000000005</v>
      </c>
      <c r="J107" s="616">
        <f t="shared" si="26"/>
        <v>367805.38000000006</v>
      </c>
      <c r="K107" s="122">
        <f t="shared" si="25"/>
        <v>11946910.120000001</v>
      </c>
    </row>
    <row r="108" spans="1:11" s="4" customFormat="1" ht="13.5" thickBot="1">
      <c r="A108" s="532"/>
      <c r="B108" s="532"/>
      <c r="C108" s="247" t="s">
        <v>199</v>
      </c>
      <c r="D108" s="123">
        <f t="shared" si="26"/>
        <v>-163204.02999999994</v>
      </c>
      <c r="E108" s="123">
        <f t="shared" si="26"/>
        <v>372960.57000000007</v>
      </c>
      <c r="F108" s="123">
        <f t="shared" si="26"/>
        <v>155984.81400000013</v>
      </c>
      <c r="G108" s="123">
        <f t="shared" si="26"/>
        <v>164578.05000000005</v>
      </c>
      <c r="H108" s="123">
        <f t="shared" si="26"/>
        <v>615856.0099999999</v>
      </c>
      <c r="I108" s="123">
        <f t="shared" si="26"/>
        <v>481540.89</v>
      </c>
      <c r="J108" s="617">
        <f t="shared" si="26"/>
        <v>492266.58</v>
      </c>
      <c r="K108" s="123">
        <f t="shared" si="25"/>
        <v>2119982.8840000005</v>
      </c>
    </row>
    <row r="109" spans="1:11" s="4" customFormat="1" ht="12.75">
      <c r="A109" s="525" t="s">
        <v>176</v>
      </c>
      <c r="B109" s="436" t="s">
        <v>43</v>
      </c>
      <c r="C109" s="264" t="s">
        <v>175</v>
      </c>
      <c r="D109" s="251">
        <v>127877.37</v>
      </c>
      <c r="E109" s="251">
        <v>39668.6</v>
      </c>
      <c r="F109" s="251">
        <v>11104.64</v>
      </c>
      <c r="G109" s="251">
        <v>33459.88</v>
      </c>
      <c r="H109" s="214">
        <v>115881.42</v>
      </c>
      <c r="I109" s="214">
        <v>53078.63</v>
      </c>
      <c r="J109" s="602">
        <v>57146.12</v>
      </c>
      <c r="K109" s="106">
        <f>SUM(D109:J109)</f>
        <v>438216.66</v>
      </c>
    </row>
    <row r="110" spans="1:11" s="4" customFormat="1" ht="12.75">
      <c r="A110" s="526"/>
      <c r="B110" s="437"/>
      <c r="C110" s="265" t="s">
        <v>1</v>
      </c>
      <c r="D110" s="252">
        <v>947022.92</v>
      </c>
      <c r="E110" s="252">
        <v>387213.3</v>
      </c>
      <c r="F110" s="252">
        <v>141772.6</v>
      </c>
      <c r="G110" s="252">
        <v>198015.43</v>
      </c>
      <c r="H110" s="173">
        <v>87789.84</v>
      </c>
      <c r="I110" s="173">
        <v>81357.36</v>
      </c>
      <c r="J110" s="603">
        <v>78973.44</v>
      </c>
      <c r="K110" s="86">
        <f aca="true" t="shared" si="27" ref="K110:K167">SUM(D110:J110)</f>
        <v>1922144.8900000001</v>
      </c>
    </row>
    <row r="111" spans="1:11" s="4" customFormat="1" ht="12.75">
      <c r="A111" s="526"/>
      <c r="B111" s="437"/>
      <c r="C111" s="265" t="s">
        <v>2</v>
      </c>
      <c r="D111" s="252">
        <v>996995.43</v>
      </c>
      <c r="E111" s="252">
        <v>399930.4</v>
      </c>
      <c r="F111" s="252">
        <v>131806.65</v>
      </c>
      <c r="G111" s="252">
        <v>214908.49</v>
      </c>
      <c r="H111" s="173">
        <v>107647.51</v>
      </c>
      <c r="I111" s="173">
        <v>64042.05</v>
      </c>
      <c r="J111" s="603">
        <v>59112.38</v>
      </c>
      <c r="K111" s="86">
        <f t="shared" si="27"/>
        <v>1974442.91</v>
      </c>
    </row>
    <row r="112" spans="1:11" s="4" customFormat="1" ht="12.75">
      <c r="A112" s="526"/>
      <c r="B112" s="437"/>
      <c r="C112" s="265" t="s">
        <v>4</v>
      </c>
      <c r="D112" s="277">
        <v>546852.05</v>
      </c>
      <c r="E112" s="277">
        <v>376786.09</v>
      </c>
      <c r="F112" s="277">
        <v>258916.48</v>
      </c>
      <c r="G112" s="277">
        <v>122660.47</v>
      </c>
      <c r="H112" s="277">
        <v>63687.27</v>
      </c>
      <c r="I112" s="277">
        <v>48893.81</v>
      </c>
      <c r="J112" s="618">
        <v>51744.27</v>
      </c>
      <c r="K112" s="86">
        <f t="shared" si="27"/>
        <v>1469540.4400000002</v>
      </c>
    </row>
    <row r="113" spans="1:11" s="4" customFormat="1" ht="12.75">
      <c r="A113" s="526"/>
      <c r="B113" s="437"/>
      <c r="C113" s="265" t="s">
        <v>3</v>
      </c>
      <c r="D113" s="252">
        <f>D112+D109</f>
        <v>674729.42</v>
      </c>
      <c r="E113" s="252">
        <f aca="true" t="shared" si="28" ref="E113:J113">+E111</f>
        <v>399930.4</v>
      </c>
      <c r="F113" s="252">
        <f t="shared" si="28"/>
        <v>131806.65</v>
      </c>
      <c r="G113" s="252">
        <f>G112+G109</f>
        <v>156120.35</v>
      </c>
      <c r="H113" s="252">
        <f t="shared" si="28"/>
        <v>107647.51</v>
      </c>
      <c r="I113" s="252">
        <f t="shared" si="28"/>
        <v>64042.05</v>
      </c>
      <c r="J113" s="604">
        <f t="shared" si="28"/>
        <v>59112.38</v>
      </c>
      <c r="K113" s="86">
        <f t="shared" si="27"/>
        <v>1593388.76</v>
      </c>
    </row>
    <row r="114" spans="1:11" s="3" customFormat="1" ht="13.5" thickBot="1">
      <c r="A114" s="526"/>
      <c r="B114" s="438"/>
      <c r="C114" s="266" t="s">
        <v>199</v>
      </c>
      <c r="D114" s="75">
        <f aca="true" t="shared" si="29" ref="D114:K114">D109+D110-D111</f>
        <v>77904.85999999999</v>
      </c>
      <c r="E114" s="75">
        <f>E109+E110-E111</f>
        <v>26951.49999999994</v>
      </c>
      <c r="F114" s="75">
        <f t="shared" si="29"/>
        <v>21070.589999999997</v>
      </c>
      <c r="G114" s="75">
        <f t="shared" si="29"/>
        <v>16566.820000000007</v>
      </c>
      <c r="H114" s="75">
        <f t="shared" si="29"/>
        <v>96023.75000000001</v>
      </c>
      <c r="I114" s="75">
        <f t="shared" si="29"/>
        <v>70393.93999999999</v>
      </c>
      <c r="J114" s="605">
        <f t="shared" si="29"/>
        <v>77007.18</v>
      </c>
      <c r="K114" s="75">
        <f t="shared" si="29"/>
        <v>385918.64000000036</v>
      </c>
    </row>
    <row r="115" spans="1:11" s="4" customFormat="1" ht="12.75">
      <c r="A115" s="526"/>
      <c r="B115" s="436" t="s">
        <v>18</v>
      </c>
      <c r="C115" s="264" t="s">
        <v>175</v>
      </c>
      <c r="D115" s="251">
        <v>28275.49</v>
      </c>
      <c r="E115" s="251">
        <v>8232.14</v>
      </c>
      <c r="F115" s="251">
        <v>2285</v>
      </c>
      <c r="G115" s="251">
        <v>6921.73</v>
      </c>
      <c r="H115" s="214">
        <v>8229</v>
      </c>
      <c r="I115" s="214">
        <f>16070.35+4021.57</f>
        <v>20091.920000000002</v>
      </c>
      <c r="J115" s="602">
        <v>12645.28</v>
      </c>
      <c r="K115" s="86">
        <f t="shared" si="27"/>
        <v>86680.56</v>
      </c>
    </row>
    <row r="116" spans="1:11" s="4" customFormat="1" ht="12.75">
      <c r="A116" s="526"/>
      <c r="B116" s="437"/>
      <c r="C116" s="265" t="s">
        <v>1</v>
      </c>
      <c r="D116" s="252">
        <v>207805.9</v>
      </c>
      <c r="E116" s="252">
        <v>79906.54</v>
      </c>
      <c r="F116" s="252">
        <v>29256.57</v>
      </c>
      <c r="G116" s="252">
        <v>40863.02</v>
      </c>
      <c r="H116" s="173">
        <v>18116.76</v>
      </c>
      <c r="I116" s="173">
        <v>64149.69</v>
      </c>
      <c r="J116" s="603">
        <v>17681.88</v>
      </c>
      <c r="K116" s="86">
        <f t="shared" si="27"/>
        <v>457780.36000000004</v>
      </c>
    </row>
    <row r="117" spans="1:11" s="4" customFormat="1" ht="12.75">
      <c r="A117" s="526"/>
      <c r="B117" s="437"/>
      <c r="C117" s="265" t="s">
        <v>2</v>
      </c>
      <c r="D117" s="252">
        <v>218972.36</v>
      </c>
      <c r="E117" s="252">
        <v>82564.26</v>
      </c>
      <c r="F117" s="252">
        <v>27193.4</v>
      </c>
      <c r="G117" s="252">
        <v>44364.5</v>
      </c>
      <c r="H117" s="173">
        <v>16354.92</v>
      </c>
      <c r="I117" s="173">
        <f>37530.49+93.71</f>
        <v>37624.2</v>
      </c>
      <c r="J117" s="603">
        <v>13242.67</v>
      </c>
      <c r="K117" s="86">
        <f t="shared" si="27"/>
        <v>440316.31</v>
      </c>
    </row>
    <row r="118" spans="1:11" s="4" customFormat="1" ht="12.75">
      <c r="A118" s="526"/>
      <c r="B118" s="437"/>
      <c r="C118" s="265" t="s">
        <v>4</v>
      </c>
      <c r="D118" s="252">
        <f>+D116</f>
        <v>207805.9</v>
      </c>
      <c r="E118" s="252">
        <f aca="true" t="shared" si="30" ref="E118:J118">+E116</f>
        <v>79906.54</v>
      </c>
      <c r="F118" s="252">
        <f t="shared" si="30"/>
        <v>29256.57</v>
      </c>
      <c r="G118" s="252">
        <f t="shared" si="30"/>
        <v>40863.02</v>
      </c>
      <c r="H118" s="252">
        <f t="shared" si="30"/>
        <v>18116.76</v>
      </c>
      <c r="I118" s="252">
        <f t="shared" si="30"/>
        <v>64149.69</v>
      </c>
      <c r="J118" s="604">
        <f t="shared" si="30"/>
        <v>17681.88</v>
      </c>
      <c r="K118" s="86">
        <f t="shared" si="27"/>
        <v>457780.36000000004</v>
      </c>
    </row>
    <row r="119" spans="1:11" s="4" customFormat="1" ht="12.75">
      <c r="A119" s="526"/>
      <c r="B119" s="437"/>
      <c r="C119" s="265" t="s">
        <v>3</v>
      </c>
      <c r="D119" s="252">
        <f>D118+D115</f>
        <v>236081.38999999998</v>
      </c>
      <c r="E119" s="252">
        <f aca="true" t="shared" si="31" ref="E119:J119">+E117</f>
        <v>82564.26</v>
      </c>
      <c r="F119" s="252">
        <f t="shared" si="31"/>
        <v>27193.4</v>
      </c>
      <c r="G119" s="252">
        <f>G118+G115</f>
        <v>47784.75</v>
      </c>
      <c r="H119" s="252">
        <f t="shared" si="31"/>
        <v>16354.92</v>
      </c>
      <c r="I119" s="252">
        <f t="shared" si="31"/>
        <v>37624.2</v>
      </c>
      <c r="J119" s="604">
        <f t="shared" si="31"/>
        <v>13242.67</v>
      </c>
      <c r="K119" s="86">
        <f t="shared" si="27"/>
        <v>460845.58999999997</v>
      </c>
    </row>
    <row r="120" spans="1:11" s="3" customFormat="1" ht="13.5" thickBot="1">
      <c r="A120" s="526"/>
      <c r="B120" s="438"/>
      <c r="C120" s="266" t="s">
        <v>199</v>
      </c>
      <c r="D120" s="75">
        <f aca="true" t="shared" si="32" ref="D120:K120">D115+D116-D117</f>
        <v>17109.03</v>
      </c>
      <c r="E120" s="75">
        <f>E115+E116-E117</f>
        <v>5574.419999999998</v>
      </c>
      <c r="F120" s="75">
        <f t="shared" si="32"/>
        <v>4348.169999999998</v>
      </c>
      <c r="G120" s="75">
        <f t="shared" si="32"/>
        <v>3420.25</v>
      </c>
      <c r="H120" s="75">
        <f t="shared" si="32"/>
        <v>9990.839999999998</v>
      </c>
      <c r="I120" s="75">
        <f t="shared" si="32"/>
        <v>46617.41</v>
      </c>
      <c r="J120" s="605">
        <f t="shared" si="32"/>
        <v>17084.490000000005</v>
      </c>
      <c r="K120" s="75">
        <f t="shared" si="32"/>
        <v>104144.61000000004</v>
      </c>
    </row>
    <row r="121" spans="1:11" s="4" customFormat="1" ht="12.75">
      <c r="A121" s="526"/>
      <c r="B121" s="436" t="s">
        <v>19</v>
      </c>
      <c r="C121" s="264" t="s">
        <v>175</v>
      </c>
      <c r="D121" s="251">
        <v>33289.73</v>
      </c>
      <c r="E121" s="251">
        <v>9569.36</v>
      </c>
      <c r="F121" s="279">
        <v>-476.86</v>
      </c>
      <c r="G121" s="279">
        <v>-576.15</v>
      </c>
      <c r="H121" s="214">
        <v>-1741.54</v>
      </c>
      <c r="I121" s="214">
        <v>280.53</v>
      </c>
      <c r="J121" s="602">
        <v>-100.99</v>
      </c>
      <c r="K121" s="86">
        <f t="shared" si="27"/>
        <v>40244.08</v>
      </c>
    </row>
    <row r="122" spans="1:11" s="4" customFormat="1" ht="12.75">
      <c r="A122" s="526"/>
      <c r="B122" s="437"/>
      <c r="C122" s="265" t="s">
        <v>1</v>
      </c>
      <c r="D122" s="252">
        <v>246076.57</v>
      </c>
      <c r="E122" s="252">
        <v>92539.81</v>
      </c>
      <c r="F122" s="280">
        <v>476.86</v>
      </c>
      <c r="G122" s="280">
        <v>576.15</v>
      </c>
      <c r="H122" s="173">
        <v>0</v>
      </c>
      <c r="I122" s="173">
        <v>0</v>
      </c>
      <c r="J122" s="603">
        <v>0</v>
      </c>
      <c r="K122" s="86">
        <f t="shared" si="27"/>
        <v>339669.39</v>
      </c>
    </row>
    <row r="123" spans="1:11" s="4" customFormat="1" ht="12.75">
      <c r="A123" s="526"/>
      <c r="B123" s="437"/>
      <c r="C123" s="265" t="s">
        <v>2</v>
      </c>
      <c r="D123" s="252">
        <v>259108.07</v>
      </c>
      <c r="E123" s="252">
        <v>95652.9</v>
      </c>
      <c r="F123" s="280">
        <v>0</v>
      </c>
      <c r="G123" s="280">
        <v>0</v>
      </c>
      <c r="H123" s="173">
        <v>0</v>
      </c>
      <c r="I123" s="173">
        <v>0</v>
      </c>
      <c r="J123" s="603">
        <v>0</v>
      </c>
      <c r="K123" s="86">
        <f t="shared" si="27"/>
        <v>354760.97</v>
      </c>
    </row>
    <row r="124" spans="1:11" s="4" customFormat="1" ht="12.75">
      <c r="A124" s="526"/>
      <c r="B124" s="437"/>
      <c r="C124" s="265" t="s">
        <v>4</v>
      </c>
      <c r="D124" s="252">
        <f aca="true" t="shared" si="33" ref="D124:J125">+D122</f>
        <v>246076.57</v>
      </c>
      <c r="E124" s="252">
        <f t="shared" si="33"/>
        <v>92539.81</v>
      </c>
      <c r="F124" s="252">
        <f t="shared" si="33"/>
        <v>476.86</v>
      </c>
      <c r="G124" s="252">
        <f t="shared" si="33"/>
        <v>576.15</v>
      </c>
      <c r="H124" s="252">
        <f t="shared" si="33"/>
        <v>0</v>
      </c>
      <c r="I124" s="252">
        <f t="shared" si="33"/>
        <v>0</v>
      </c>
      <c r="J124" s="604">
        <f t="shared" si="33"/>
        <v>0</v>
      </c>
      <c r="K124" s="86">
        <f t="shared" si="27"/>
        <v>339669.39</v>
      </c>
    </row>
    <row r="125" spans="1:11" s="4" customFormat="1" ht="12.75">
      <c r="A125" s="526"/>
      <c r="B125" s="437"/>
      <c r="C125" s="265" t="s">
        <v>3</v>
      </c>
      <c r="D125" s="252">
        <f>D124+D121</f>
        <v>279366.3</v>
      </c>
      <c r="E125" s="252">
        <f t="shared" si="33"/>
        <v>95652.9</v>
      </c>
      <c r="F125" s="252">
        <f t="shared" si="33"/>
        <v>0</v>
      </c>
      <c r="G125" s="252">
        <f t="shared" si="33"/>
        <v>0</v>
      </c>
      <c r="H125" s="252">
        <f t="shared" si="33"/>
        <v>0</v>
      </c>
      <c r="I125" s="252">
        <f t="shared" si="33"/>
        <v>0</v>
      </c>
      <c r="J125" s="604">
        <f t="shared" si="33"/>
        <v>0</v>
      </c>
      <c r="K125" s="86">
        <f t="shared" si="27"/>
        <v>375019.19999999995</v>
      </c>
    </row>
    <row r="126" spans="1:11" s="3" customFormat="1" ht="13.5" thickBot="1">
      <c r="A126" s="526"/>
      <c r="B126" s="438"/>
      <c r="C126" s="266" t="s">
        <v>199</v>
      </c>
      <c r="D126" s="75">
        <f aca="true" t="shared" si="34" ref="D126:K126">D121+D122-D123</f>
        <v>20258.22999999998</v>
      </c>
      <c r="E126" s="75">
        <f>E121+E122-E123</f>
        <v>6456.270000000004</v>
      </c>
      <c r="F126" s="75">
        <f t="shared" si="34"/>
        <v>0</v>
      </c>
      <c r="G126" s="75">
        <f t="shared" si="34"/>
        <v>0</v>
      </c>
      <c r="H126" s="75">
        <f t="shared" si="34"/>
        <v>-1741.54</v>
      </c>
      <c r="I126" s="75">
        <f t="shared" si="34"/>
        <v>280.53</v>
      </c>
      <c r="J126" s="605">
        <f t="shared" si="34"/>
        <v>-100.99</v>
      </c>
      <c r="K126" s="75">
        <f t="shared" si="34"/>
        <v>25152.50000000006</v>
      </c>
    </row>
    <row r="127" spans="1:11" s="3" customFormat="1" ht="12.75">
      <c r="A127" s="523"/>
      <c r="B127" s="436" t="s">
        <v>162</v>
      </c>
      <c r="C127" s="264" t="s">
        <v>175</v>
      </c>
      <c r="D127" s="251"/>
      <c r="E127" s="251"/>
      <c r="F127" s="279"/>
      <c r="G127" s="279"/>
      <c r="H127" s="214"/>
      <c r="I127" s="214">
        <v>16351.14</v>
      </c>
      <c r="J127" s="602"/>
      <c r="K127" s="86">
        <f t="shared" si="27"/>
        <v>16351.14</v>
      </c>
    </row>
    <row r="128" spans="1:11" s="3" customFormat="1" ht="12.75">
      <c r="A128" s="523"/>
      <c r="B128" s="437"/>
      <c r="C128" s="265" t="s">
        <v>1</v>
      </c>
      <c r="D128" s="252"/>
      <c r="E128" s="252"/>
      <c r="F128" s="280"/>
      <c r="G128" s="280"/>
      <c r="H128" s="173"/>
      <c r="I128" s="173">
        <v>-15646.05</v>
      </c>
      <c r="J128" s="603"/>
      <c r="K128" s="86">
        <f t="shared" si="27"/>
        <v>-15646.05</v>
      </c>
    </row>
    <row r="129" spans="1:11" s="3" customFormat="1" ht="12.75">
      <c r="A129" s="523"/>
      <c r="B129" s="437"/>
      <c r="C129" s="265" t="s">
        <v>2</v>
      </c>
      <c r="D129" s="252"/>
      <c r="E129" s="252"/>
      <c r="F129" s="280"/>
      <c r="G129" s="280"/>
      <c r="H129" s="173"/>
      <c r="I129" s="173">
        <v>705.09</v>
      </c>
      <c r="J129" s="603"/>
      <c r="K129" s="86">
        <f t="shared" si="27"/>
        <v>705.09</v>
      </c>
    </row>
    <row r="130" spans="1:11" s="3" customFormat="1" ht="12.75">
      <c r="A130" s="523"/>
      <c r="B130" s="437"/>
      <c r="C130" s="265" t="s">
        <v>4</v>
      </c>
      <c r="D130" s="252"/>
      <c r="E130" s="252"/>
      <c r="F130" s="252"/>
      <c r="G130" s="252"/>
      <c r="H130" s="252"/>
      <c r="I130" s="252">
        <f>+I128</f>
        <v>-15646.05</v>
      </c>
      <c r="J130" s="604"/>
      <c r="K130" s="86">
        <f t="shared" si="27"/>
        <v>-15646.05</v>
      </c>
    </row>
    <row r="131" spans="1:11" s="3" customFormat="1" ht="12.75">
      <c r="A131" s="523"/>
      <c r="B131" s="437"/>
      <c r="C131" s="265" t="s">
        <v>3</v>
      </c>
      <c r="D131" s="252"/>
      <c r="E131" s="252"/>
      <c r="F131" s="252"/>
      <c r="G131" s="252"/>
      <c r="H131" s="252"/>
      <c r="I131" s="252">
        <f>+I129</f>
        <v>705.09</v>
      </c>
      <c r="J131" s="604"/>
      <c r="K131" s="86">
        <f t="shared" si="27"/>
        <v>705.09</v>
      </c>
    </row>
    <row r="132" spans="1:11" s="3" customFormat="1" ht="13.5" thickBot="1">
      <c r="A132" s="524"/>
      <c r="B132" s="438"/>
      <c r="C132" s="266" t="s">
        <v>199</v>
      </c>
      <c r="D132" s="75"/>
      <c r="E132" s="75"/>
      <c r="F132" s="75"/>
      <c r="G132" s="75"/>
      <c r="H132" s="75"/>
      <c r="I132" s="75">
        <f>I127+I128-I129</f>
        <v>0</v>
      </c>
      <c r="J132" s="605"/>
      <c r="K132" s="75">
        <f>K127+K128-K129</f>
        <v>0</v>
      </c>
    </row>
    <row r="133" spans="1:11" s="4" customFormat="1" ht="13.5" customHeight="1">
      <c r="A133" s="527" t="s">
        <v>142</v>
      </c>
      <c r="B133" s="436" t="s">
        <v>165</v>
      </c>
      <c r="C133" s="264" t="s">
        <v>175</v>
      </c>
      <c r="D133" s="251">
        <f>-95.31+1719.41</f>
        <v>1624.1000000000001</v>
      </c>
      <c r="E133" s="251">
        <v>540.99</v>
      </c>
      <c r="F133" s="251">
        <f>-82.59+144.5</f>
        <v>61.91</v>
      </c>
      <c r="G133" s="251">
        <f>-3.49+438.78</f>
        <v>435.28999999999996</v>
      </c>
      <c r="H133" s="251">
        <f>-65.78+601.24</f>
        <v>535.46</v>
      </c>
      <c r="I133" s="279"/>
      <c r="J133" s="619"/>
      <c r="K133" s="86">
        <f t="shared" si="27"/>
        <v>3197.75</v>
      </c>
    </row>
    <row r="134" spans="1:11" s="4" customFormat="1" ht="12.75">
      <c r="A134" s="528"/>
      <c r="B134" s="437"/>
      <c r="C134" s="265" t="s">
        <v>1</v>
      </c>
      <c r="D134" s="252">
        <f>96.36+12689.91</f>
        <v>12786.27</v>
      </c>
      <c r="E134" s="252">
        <v>5053.19</v>
      </c>
      <c r="F134" s="252">
        <f>82.59+1850.26</f>
        <v>1932.85</v>
      </c>
      <c r="G134" s="252">
        <f>3.49+2584.46</f>
        <v>2587.95</v>
      </c>
      <c r="H134" s="252">
        <f>66.61+1146</f>
        <v>1212.61</v>
      </c>
      <c r="I134" s="280"/>
      <c r="J134" s="620"/>
      <c r="K134" s="86">
        <f t="shared" si="27"/>
        <v>23572.87</v>
      </c>
    </row>
    <row r="135" spans="1:11" s="4" customFormat="1" ht="12.75">
      <c r="A135" s="528"/>
      <c r="B135" s="437"/>
      <c r="C135" s="265" t="s">
        <v>2</v>
      </c>
      <c r="D135" s="252">
        <f>1.05+13364.63</f>
        <v>13365.679999999998</v>
      </c>
      <c r="E135" s="252">
        <v>5241.46</v>
      </c>
      <c r="F135" s="252">
        <v>1719.72</v>
      </c>
      <c r="G135" s="252">
        <v>2806.89</v>
      </c>
      <c r="H135" s="252">
        <f>0.83+1039.32</f>
        <v>1040.1499999999999</v>
      </c>
      <c r="I135" s="280"/>
      <c r="J135" s="620"/>
      <c r="K135" s="86">
        <f t="shared" si="27"/>
        <v>24173.9</v>
      </c>
    </row>
    <row r="136" spans="1:11" s="4" customFormat="1" ht="12.75">
      <c r="A136" s="528"/>
      <c r="B136" s="437"/>
      <c r="C136" s="265" t="s">
        <v>4</v>
      </c>
      <c r="D136" s="252">
        <f aca="true" t="shared" si="35" ref="D136:H137">+D134</f>
        <v>12786.27</v>
      </c>
      <c r="E136" s="252">
        <f t="shared" si="35"/>
        <v>5053.19</v>
      </c>
      <c r="F136" s="252">
        <f t="shared" si="35"/>
        <v>1932.85</v>
      </c>
      <c r="G136" s="252">
        <f t="shared" si="35"/>
        <v>2587.95</v>
      </c>
      <c r="H136" s="252">
        <f t="shared" si="35"/>
        <v>1212.61</v>
      </c>
      <c r="I136" s="252"/>
      <c r="J136" s="604"/>
      <c r="K136" s="86">
        <f t="shared" si="27"/>
        <v>23572.87</v>
      </c>
    </row>
    <row r="137" spans="1:11" s="4" customFormat="1" ht="12.75">
      <c r="A137" s="528"/>
      <c r="B137" s="437"/>
      <c r="C137" s="265" t="s">
        <v>3</v>
      </c>
      <c r="D137" s="252">
        <f>D136+D133</f>
        <v>14410.37</v>
      </c>
      <c r="E137" s="252">
        <f t="shared" si="35"/>
        <v>5241.46</v>
      </c>
      <c r="F137" s="252">
        <f t="shared" si="35"/>
        <v>1719.72</v>
      </c>
      <c r="G137" s="252">
        <f t="shared" si="35"/>
        <v>2806.89</v>
      </c>
      <c r="H137" s="252">
        <f t="shared" si="35"/>
        <v>1040.1499999999999</v>
      </c>
      <c r="I137" s="252"/>
      <c r="J137" s="604"/>
      <c r="K137" s="86">
        <f t="shared" si="27"/>
        <v>25218.590000000004</v>
      </c>
    </row>
    <row r="138" spans="1:11" s="3" customFormat="1" ht="13.5" thickBot="1">
      <c r="A138" s="528"/>
      <c r="B138" s="438"/>
      <c r="C138" s="266" t="s">
        <v>199</v>
      </c>
      <c r="D138" s="75">
        <f>D133+D134-D135</f>
        <v>1044.6900000000023</v>
      </c>
      <c r="E138" s="75">
        <f>E133+E134-E135</f>
        <v>352.71999999999935</v>
      </c>
      <c r="F138" s="75">
        <f>F133+F134-F135</f>
        <v>275.03999999999996</v>
      </c>
      <c r="G138" s="75">
        <f>G133+G134-G135</f>
        <v>216.3499999999999</v>
      </c>
      <c r="H138" s="75">
        <f>H133+H134-H135</f>
        <v>707.9200000000001</v>
      </c>
      <c r="I138" s="75"/>
      <c r="J138" s="605"/>
      <c r="K138" s="78">
        <f t="shared" si="27"/>
        <v>2596.7200000000016</v>
      </c>
    </row>
    <row r="139" spans="1:11" s="4" customFormat="1" ht="12.75">
      <c r="A139" s="528"/>
      <c r="B139" s="436" t="s">
        <v>152</v>
      </c>
      <c r="C139" s="264" t="s">
        <v>175</v>
      </c>
      <c r="D139" s="249">
        <v>5048.83</v>
      </c>
      <c r="E139" s="249">
        <v>1583.76</v>
      </c>
      <c r="F139" s="279">
        <v>424.47</v>
      </c>
      <c r="G139" s="279">
        <v>1288.4</v>
      </c>
      <c r="H139" s="249">
        <v>1744.22</v>
      </c>
      <c r="I139" s="249"/>
      <c r="J139" s="621"/>
      <c r="K139" s="90">
        <f t="shared" si="27"/>
        <v>10089.68</v>
      </c>
    </row>
    <row r="140" spans="1:11" s="4" customFormat="1" ht="12.75">
      <c r="A140" s="528"/>
      <c r="B140" s="437"/>
      <c r="C140" s="265" t="s">
        <v>1</v>
      </c>
      <c r="D140" s="252">
        <v>37180.96</v>
      </c>
      <c r="E140" s="252">
        <v>14844.14</v>
      </c>
      <c r="F140" s="252">
        <v>5352.57</v>
      </c>
      <c r="G140" s="252">
        <v>7587.44</v>
      </c>
      <c r="H140" s="252">
        <v>3298.79</v>
      </c>
      <c r="I140" s="120"/>
      <c r="J140" s="607"/>
      <c r="K140" s="86">
        <f t="shared" si="27"/>
        <v>68263.9</v>
      </c>
    </row>
    <row r="141" spans="1:11" s="4" customFormat="1" ht="12.75">
      <c r="A141" s="528"/>
      <c r="B141" s="437"/>
      <c r="C141" s="265" t="s">
        <v>2</v>
      </c>
      <c r="D141" s="252">
        <v>39183.28</v>
      </c>
      <c r="E141" s="252">
        <v>15391.68</v>
      </c>
      <c r="F141" s="252">
        <v>5036.35</v>
      </c>
      <c r="G141" s="252">
        <v>8242.45</v>
      </c>
      <c r="H141" s="252">
        <v>3029.35</v>
      </c>
      <c r="I141" s="120"/>
      <c r="J141" s="607"/>
      <c r="K141" s="86">
        <f t="shared" si="27"/>
        <v>70883.11</v>
      </c>
    </row>
    <row r="142" spans="1:11" s="4" customFormat="1" ht="12.75">
      <c r="A142" s="528"/>
      <c r="B142" s="437"/>
      <c r="C142" s="265" t="s">
        <v>4</v>
      </c>
      <c r="D142" s="252">
        <f aca="true" t="shared" si="36" ref="D142:H143">+D140</f>
        <v>37180.96</v>
      </c>
      <c r="E142" s="252">
        <f t="shared" si="36"/>
        <v>14844.14</v>
      </c>
      <c r="F142" s="252">
        <f t="shared" si="36"/>
        <v>5352.57</v>
      </c>
      <c r="G142" s="252">
        <f t="shared" si="36"/>
        <v>7587.44</v>
      </c>
      <c r="H142" s="252">
        <f t="shared" si="36"/>
        <v>3298.79</v>
      </c>
      <c r="I142" s="252"/>
      <c r="J142" s="604"/>
      <c r="K142" s="86">
        <f t="shared" si="27"/>
        <v>68263.9</v>
      </c>
    </row>
    <row r="143" spans="1:11" s="4" customFormat="1" ht="12.75">
      <c r="A143" s="528"/>
      <c r="B143" s="437"/>
      <c r="C143" s="265" t="s">
        <v>3</v>
      </c>
      <c r="D143" s="252">
        <f>D142+D139</f>
        <v>42229.79</v>
      </c>
      <c r="E143" s="252">
        <f t="shared" si="36"/>
        <v>15391.68</v>
      </c>
      <c r="F143" s="252">
        <f t="shared" si="36"/>
        <v>5036.35</v>
      </c>
      <c r="G143" s="252">
        <f>G142+G139</f>
        <v>8875.84</v>
      </c>
      <c r="H143" s="252">
        <f t="shared" si="36"/>
        <v>3029.35</v>
      </c>
      <c r="I143" s="252"/>
      <c r="J143" s="604"/>
      <c r="K143" s="86">
        <f t="shared" si="27"/>
        <v>74563.01000000001</v>
      </c>
    </row>
    <row r="144" spans="1:11" s="3" customFormat="1" ht="13.5" thickBot="1">
      <c r="A144" s="528"/>
      <c r="B144" s="438"/>
      <c r="C144" s="266" t="s">
        <v>199</v>
      </c>
      <c r="D144" s="75">
        <f>D139+D140-D141</f>
        <v>3046.510000000002</v>
      </c>
      <c r="E144" s="75">
        <f>E139+E140-E141</f>
        <v>1036.2199999999975</v>
      </c>
      <c r="F144" s="75">
        <f>F139+F140-F141</f>
        <v>740.6899999999996</v>
      </c>
      <c r="G144" s="75">
        <f>G139+G140-G141</f>
        <v>633.3899999999994</v>
      </c>
      <c r="H144" s="75">
        <f>H139+H140-H141</f>
        <v>2013.6600000000003</v>
      </c>
      <c r="I144" s="75"/>
      <c r="J144" s="605"/>
      <c r="K144" s="78">
        <f t="shared" si="27"/>
        <v>7470.469999999999</v>
      </c>
    </row>
    <row r="145" spans="1:11" s="3" customFormat="1" ht="13.5" customHeight="1">
      <c r="A145" s="528"/>
      <c r="B145" s="470" t="s">
        <v>153</v>
      </c>
      <c r="C145" s="271" t="s">
        <v>175</v>
      </c>
      <c r="D145" s="249">
        <v>1719.4</v>
      </c>
      <c r="E145" s="249">
        <v>541.01</v>
      </c>
      <c r="F145" s="279">
        <v>144.51</v>
      </c>
      <c r="G145" s="279">
        <v>438.78</v>
      </c>
      <c r="H145" s="249">
        <v>601.24</v>
      </c>
      <c r="I145" s="249"/>
      <c r="J145" s="621"/>
      <c r="K145" s="90">
        <f t="shared" si="27"/>
        <v>3444.9399999999996</v>
      </c>
    </row>
    <row r="146" spans="1:11" s="3" customFormat="1" ht="13.5" customHeight="1">
      <c r="A146" s="528"/>
      <c r="B146" s="471"/>
      <c r="C146" s="269" t="s">
        <v>1</v>
      </c>
      <c r="D146" s="252">
        <v>12689.91</v>
      </c>
      <c r="E146" s="252">
        <v>5053.19</v>
      </c>
      <c r="F146" s="252">
        <v>1850.26</v>
      </c>
      <c r="G146" s="252">
        <v>2584.46</v>
      </c>
      <c r="H146" s="252">
        <v>1146</v>
      </c>
      <c r="I146" s="120"/>
      <c r="J146" s="607"/>
      <c r="K146" s="86">
        <f t="shared" si="27"/>
        <v>23323.819999999996</v>
      </c>
    </row>
    <row r="147" spans="1:11" s="3" customFormat="1" ht="13.5" customHeight="1">
      <c r="A147" s="528"/>
      <c r="B147" s="471"/>
      <c r="C147" s="269" t="s">
        <v>2</v>
      </c>
      <c r="D147" s="252">
        <v>13364.61</v>
      </c>
      <c r="E147" s="252">
        <v>5241.48</v>
      </c>
      <c r="F147" s="252">
        <v>1719.73</v>
      </c>
      <c r="G147" s="252">
        <v>2806.89</v>
      </c>
      <c r="H147" s="252">
        <v>1039.32</v>
      </c>
      <c r="I147" s="120"/>
      <c r="J147" s="607"/>
      <c r="K147" s="86">
        <f t="shared" si="27"/>
        <v>24172.03</v>
      </c>
    </row>
    <row r="148" spans="1:11" s="3" customFormat="1" ht="13.5" customHeight="1">
      <c r="A148" s="528"/>
      <c r="B148" s="471"/>
      <c r="C148" s="269" t="s">
        <v>4</v>
      </c>
      <c r="D148" s="252">
        <f aca="true" t="shared" si="37" ref="D148:H149">+D146</f>
        <v>12689.91</v>
      </c>
      <c r="E148" s="252">
        <f t="shared" si="37"/>
        <v>5053.19</v>
      </c>
      <c r="F148" s="252">
        <f t="shared" si="37"/>
        <v>1850.26</v>
      </c>
      <c r="G148" s="252">
        <f t="shared" si="37"/>
        <v>2584.46</v>
      </c>
      <c r="H148" s="252">
        <f t="shared" si="37"/>
        <v>1146</v>
      </c>
      <c r="I148" s="252"/>
      <c r="J148" s="604"/>
      <c r="K148" s="86">
        <f t="shared" si="27"/>
        <v>23323.819999999996</v>
      </c>
    </row>
    <row r="149" spans="1:11" s="3" customFormat="1" ht="13.5" customHeight="1">
      <c r="A149" s="528"/>
      <c r="B149" s="471"/>
      <c r="C149" s="269" t="s">
        <v>3</v>
      </c>
      <c r="D149" s="252">
        <f>D148+D145</f>
        <v>14409.31</v>
      </c>
      <c r="E149" s="252">
        <f t="shared" si="37"/>
        <v>5241.48</v>
      </c>
      <c r="F149" s="252">
        <f t="shared" si="37"/>
        <v>1719.73</v>
      </c>
      <c r="G149" s="252">
        <f t="shared" si="37"/>
        <v>2806.89</v>
      </c>
      <c r="H149" s="252">
        <f t="shared" si="37"/>
        <v>1039.32</v>
      </c>
      <c r="I149" s="252"/>
      <c r="J149" s="604"/>
      <c r="K149" s="86">
        <f t="shared" si="27"/>
        <v>25216.73</v>
      </c>
    </row>
    <row r="150" spans="1:11" s="3" customFormat="1" ht="13.5" customHeight="1" thickBot="1">
      <c r="A150" s="529"/>
      <c r="B150" s="472"/>
      <c r="C150" s="238" t="s">
        <v>199</v>
      </c>
      <c r="D150" s="75">
        <f>D145+D146-D147</f>
        <v>1044.699999999999</v>
      </c>
      <c r="E150" s="75">
        <f>E145+E146-E147</f>
        <v>352.72000000000025</v>
      </c>
      <c r="F150" s="75">
        <f>F145+F146-F147</f>
        <v>275.03999999999996</v>
      </c>
      <c r="G150" s="75">
        <f>G145+G146-G147</f>
        <v>216.3499999999999</v>
      </c>
      <c r="H150" s="75">
        <f>H145+H146-H147</f>
        <v>707.9200000000001</v>
      </c>
      <c r="I150" s="75"/>
      <c r="J150" s="605"/>
      <c r="K150" s="78">
        <f t="shared" si="27"/>
        <v>2596.729999999999</v>
      </c>
    </row>
    <row r="151" spans="1:15" ht="13.5" customHeight="1">
      <c r="A151" s="382" t="s">
        <v>113</v>
      </c>
      <c r="B151" s="436" t="s">
        <v>21</v>
      </c>
      <c r="C151" s="264" t="s">
        <v>175</v>
      </c>
      <c r="D151" s="251">
        <v>20175.3</v>
      </c>
      <c r="E151" s="251">
        <v>6033.75</v>
      </c>
      <c r="F151" s="251">
        <v>1684.68</v>
      </c>
      <c r="G151" s="251">
        <v>5077.09</v>
      </c>
      <c r="H151" s="214">
        <v>6216.5</v>
      </c>
      <c r="I151" s="214">
        <v>9634.1</v>
      </c>
      <c r="J151" s="602">
        <v>9917.65</v>
      </c>
      <c r="K151" s="90">
        <f t="shared" si="27"/>
        <v>58739.07</v>
      </c>
      <c r="L151" s="163"/>
      <c r="M151" s="163"/>
      <c r="N151" s="163"/>
      <c r="O151" s="163"/>
    </row>
    <row r="152" spans="1:15" ht="12.75">
      <c r="A152" s="383"/>
      <c r="B152" s="437"/>
      <c r="C152" s="265" t="s">
        <v>1</v>
      </c>
      <c r="D152" s="252">
        <v>149112.09</v>
      </c>
      <c r="E152" s="252">
        <v>58745.1</v>
      </c>
      <c r="F152" s="252">
        <v>21508.77</v>
      </c>
      <c r="G152" s="252">
        <v>30041.7</v>
      </c>
      <c r="H152" s="173">
        <v>13319.16</v>
      </c>
      <c r="I152" s="173">
        <v>12831.36</v>
      </c>
      <c r="J152" s="603">
        <v>12096.12</v>
      </c>
      <c r="K152" s="86">
        <f t="shared" si="27"/>
        <v>297654.3</v>
      </c>
      <c r="L152" s="163"/>
      <c r="M152" s="163"/>
      <c r="N152" s="163"/>
      <c r="O152" s="163"/>
    </row>
    <row r="153" spans="1:15" ht="12.75">
      <c r="A153" s="383"/>
      <c r="B153" s="437"/>
      <c r="C153" s="265" t="s">
        <v>2</v>
      </c>
      <c r="D153" s="252">
        <v>157020.9</v>
      </c>
      <c r="E153" s="252">
        <v>60689.78</v>
      </c>
      <c r="F153" s="252">
        <v>19996.71</v>
      </c>
      <c r="G153" s="252">
        <v>32605.3</v>
      </c>
      <c r="H153" s="173">
        <v>11932.99</v>
      </c>
      <c r="I153" s="173">
        <v>10126.98</v>
      </c>
      <c r="J153" s="603">
        <v>9070.29</v>
      </c>
      <c r="K153" s="86">
        <f t="shared" si="27"/>
        <v>301442.94999999995</v>
      </c>
      <c r="L153" s="163"/>
      <c r="M153" s="163"/>
      <c r="N153" s="163"/>
      <c r="O153" s="163"/>
    </row>
    <row r="154" spans="1:15" ht="12.75">
      <c r="A154" s="383"/>
      <c r="B154" s="437"/>
      <c r="C154" s="265" t="s">
        <v>4</v>
      </c>
      <c r="D154" s="277">
        <v>135736.32</v>
      </c>
      <c r="E154" s="277">
        <v>98027.46</v>
      </c>
      <c r="F154" s="277">
        <v>14176.35</v>
      </c>
      <c r="G154" s="277">
        <v>19843.37</v>
      </c>
      <c r="H154" s="277">
        <v>8774.31</v>
      </c>
      <c r="I154" s="277">
        <v>13236.45</v>
      </c>
      <c r="J154" s="618">
        <v>13133.29</v>
      </c>
      <c r="K154" s="86">
        <f t="shared" si="27"/>
        <v>302927.55000000005</v>
      </c>
      <c r="L154" s="163"/>
      <c r="M154" s="163"/>
      <c r="N154" s="163"/>
      <c r="O154" s="163"/>
    </row>
    <row r="155" spans="1:15" ht="12.75">
      <c r="A155" s="383"/>
      <c r="B155" s="437"/>
      <c r="C155" s="265" t="s">
        <v>3</v>
      </c>
      <c r="D155" s="252">
        <f>D154+D151</f>
        <v>155911.62</v>
      </c>
      <c r="E155" s="252">
        <f aca="true" t="shared" si="38" ref="E155:J155">+E153</f>
        <v>60689.78</v>
      </c>
      <c r="F155" s="252">
        <f>F154+F151</f>
        <v>15861.03</v>
      </c>
      <c r="G155" s="252">
        <f>G154+G151</f>
        <v>24920.46</v>
      </c>
      <c r="H155" s="252">
        <f t="shared" si="38"/>
        <v>11932.99</v>
      </c>
      <c r="I155" s="252">
        <f t="shared" si="38"/>
        <v>10126.98</v>
      </c>
      <c r="J155" s="604">
        <f t="shared" si="38"/>
        <v>9070.29</v>
      </c>
      <c r="K155" s="86">
        <f t="shared" si="27"/>
        <v>288513.14999999997</v>
      </c>
      <c r="L155" s="163"/>
      <c r="M155" s="163"/>
      <c r="N155" s="163"/>
      <c r="O155" s="163"/>
    </row>
    <row r="156" spans="1:15" s="3" customFormat="1" ht="13.5" thickBot="1">
      <c r="A156" s="383"/>
      <c r="B156" s="438"/>
      <c r="C156" s="266" t="s">
        <v>199</v>
      </c>
      <c r="D156" s="75">
        <f aca="true" t="shared" si="39" ref="D156:K156">D151+D152-D153</f>
        <v>12266.48999999999</v>
      </c>
      <c r="E156" s="75">
        <f>E151+E152-E153</f>
        <v>4089.0699999999997</v>
      </c>
      <c r="F156" s="75">
        <f t="shared" si="39"/>
        <v>3196.7400000000016</v>
      </c>
      <c r="G156" s="75">
        <f t="shared" si="39"/>
        <v>2513.4900000000016</v>
      </c>
      <c r="H156" s="75">
        <f t="shared" si="39"/>
        <v>7602.67</v>
      </c>
      <c r="I156" s="75">
        <f t="shared" si="39"/>
        <v>12338.48</v>
      </c>
      <c r="J156" s="605">
        <f t="shared" si="39"/>
        <v>12943.48</v>
      </c>
      <c r="K156" s="75">
        <f t="shared" si="39"/>
        <v>54950.42000000004</v>
      </c>
      <c r="L156" s="37"/>
      <c r="M156" s="37"/>
      <c r="N156" s="37"/>
      <c r="O156" s="37"/>
    </row>
    <row r="157" spans="1:15" s="3" customFormat="1" ht="12.75">
      <c r="A157" s="383"/>
      <c r="B157" s="436" t="s">
        <v>149</v>
      </c>
      <c r="C157" s="264" t="s">
        <v>175</v>
      </c>
      <c r="D157" s="251">
        <v>2806.36</v>
      </c>
      <c r="E157" s="251">
        <v>848.51</v>
      </c>
      <c r="F157" s="251">
        <v>234.83</v>
      </c>
      <c r="G157" s="251">
        <v>711.47</v>
      </c>
      <c r="H157" s="251">
        <v>867.5</v>
      </c>
      <c r="I157" s="251">
        <v>1076.86</v>
      </c>
      <c r="J157" s="622">
        <v>1226.23</v>
      </c>
      <c r="K157" s="86">
        <f t="shared" si="27"/>
        <v>7771.76</v>
      </c>
      <c r="L157" s="37"/>
      <c r="M157" s="37"/>
      <c r="N157" s="37"/>
      <c r="O157" s="37"/>
    </row>
    <row r="158" spans="1:15" s="3" customFormat="1" ht="12.75">
      <c r="A158" s="383"/>
      <c r="B158" s="437"/>
      <c r="C158" s="265" t="s">
        <v>1</v>
      </c>
      <c r="D158" s="252">
        <v>20621.43</v>
      </c>
      <c r="E158" s="252">
        <v>8211.54</v>
      </c>
      <c r="F158" s="252">
        <v>3006.64</v>
      </c>
      <c r="G158" s="252">
        <v>4199.59</v>
      </c>
      <c r="H158" s="252">
        <v>1862.16</v>
      </c>
      <c r="I158" s="252">
        <v>1832.64</v>
      </c>
      <c r="J158" s="604">
        <v>1817.16</v>
      </c>
      <c r="K158" s="86">
        <f t="shared" si="27"/>
        <v>41551.16</v>
      </c>
      <c r="L158" s="37"/>
      <c r="M158" s="37"/>
      <c r="N158" s="37"/>
      <c r="O158" s="37"/>
    </row>
    <row r="159" spans="1:15" s="3" customFormat="1" ht="12.75">
      <c r="A159" s="383"/>
      <c r="B159" s="437"/>
      <c r="C159" s="265" t="s">
        <v>2</v>
      </c>
      <c r="D159" s="252">
        <v>21729.99</v>
      </c>
      <c r="E159" s="252">
        <v>8487.21</v>
      </c>
      <c r="F159" s="252">
        <v>2794.54</v>
      </c>
      <c r="G159" s="252">
        <v>4559.57</v>
      </c>
      <c r="H159" s="252">
        <v>1681.76</v>
      </c>
      <c r="I159" s="252">
        <v>1443.59</v>
      </c>
      <c r="J159" s="604">
        <v>1363.71</v>
      </c>
      <c r="K159" s="86">
        <f t="shared" si="27"/>
        <v>42060.369999999995</v>
      </c>
      <c r="L159" s="37"/>
      <c r="M159" s="37"/>
      <c r="N159" s="37"/>
      <c r="O159" s="37"/>
    </row>
    <row r="160" spans="1:11" s="3" customFormat="1" ht="12.75">
      <c r="A160" s="383"/>
      <c r="B160" s="437"/>
      <c r="C160" s="265" t="s">
        <v>4</v>
      </c>
      <c r="D160" s="252">
        <f>+D158</f>
        <v>20621.43</v>
      </c>
      <c r="E160" s="252">
        <f aca="true" t="shared" si="40" ref="E160:J160">+E158</f>
        <v>8211.54</v>
      </c>
      <c r="F160" s="252">
        <f t="shared" si="40"/>
        <v>3006.64</v>
      </c>
      <c r="G160" s="252">
        <f t="shared" si="40"/>
        <v>4199.59</v>
      </c>
      <c r="H160" s="252">
        <f t="shared" si="40"/>
        <v>1862.16</v>
      </c>
      <c r="I160" s="252">
        <f t="shared" si="40"/>
        <v>1832.64</v>
      </c>
      <c r="J160" s="604">
        <f t="shared" si="40"/>
        <v>1817.16</v>
      </c>
      <c r="K160" s="86">
        <f t="shared" si="27"/>
        <v>41551.16</v>
      </c>
    </row>
    <row r="161" spans="1:11" s="3" customFormat="1" ht="12.75">
      <c r="A161" s="383"/>
      <c r="B161" s="437"/>
      <c r="C161" s="265" t="s">
        <v>3</v>
      </c>
      <c r="D161" s="252">
        <f>D160+D157</f>
        <v>23427.79</v>
      </c>
      <c r="E161" s="252">
        <f aca="true" t="shared" si="41" ref="E161:J161">+E159</f>
        <v>8487.21</v>
      </c>
      <c r="F161" s="252">
        <f t="shared" si="41"/>
        <v>2794.54</v>
      </c>
      <c r="G161" s="252">
        <f t="shared" si="41"/>
        <v>4559.57</v>
      </c>
      <c r="H161" s="252">
        <f t="shared" si="41"/>
        <v>1681.76</v>
      </c>
      <c r="I161" s="252">
        <f t="shared" si="41"/>
        <v>1443.59</v>
      </c>
      <c r="J161" s="604">
        <f t="shared" si="41"/>
        <v>1363.71</v>
      </c>
      <c r="K161" s="86">
        <f t="shared" si="27"/>
        <v>43758.17</v>
      </c>
    </row>
    <row r="162" spans="1:11" s="3" customFormat="1" ht="13.5" thickBot="1">
      <c r="A162" s="384"/>
      <c r="B162" s="438"/>
      <c r="C162" s="266" t="s">
        <v>199</v>
      </c>
      <c r="D162" s="75">
        <f aca="true" t="shared" si="42" ref="D162:K162">D157+D158-D159</f>
        <v>1697.7999999999993</v>
      </c>
      <c r="E162" s="75">
        <f>E157+E158-E159</f>
        <v>572.840000000002</v>
      </c>
      <c r="F162" s="75">
        <f t="shared" si="42"/>
        <v>446.92999999999984</v>
      </c>
      <c r="G162" s="75">
        <f t="shared" si="42"/>
        <v>351.4900000000007</v>
      </c>
      <c r="H162" s="75">
        <f t="shared" si="42"/>
        <v>1047.8999999999999</v>
      </c>
      <c r="I162" s="75">
        <f t="shared" si="42"/>
        <v>1465.91</v>
      </c>
      <c r="J162" s="605">
        <f t="shared" si="42"/>
        <v>1679.6800000000003</v>
      </c>
      <c r="K162" s="75">
        <f t="shared" si="42"/>
        <v>7262.55000000001</v>
      </c>
    </row>
    <row r="163" spans="1:11" ht="12.75" customHeight="1">
      <c r="A163" s="390" t="s">
        <v>154</v>
      </c>
      <c r="B163" s="436" t="s">
        <v>41</v>
      </c>
      <c r="C163" s="264" t="s">
        <v>175</v>
      </c>
      <c r="D163" s="251">
        <v>144579.31</v>
      </c>
      <c r="E163" s="251">
        <v>33115.05</v>
      </c>
      <c r="F163" s="251">
        <v>10071.72</v>
      </c>
      <c r="G163" s="251">
        <v>23808.62</v>
      </c>
      <c r="H163" s="214">
        <f>-28.81+57750.97</f>
        <v>57722.16</v>
      </c>
      <c r="I163" s="214">
        <f>-1.15+29259.96</f>
        <v>29258.809999999998</v>
      </c>
      <c r="J163" s="602">
        <f>-33.74+32781.26</f>
        <v>32747.52</v>
      </c>
      <c r="K163" s="86">
        <f t="shared" si="27"/>
        <v>331303.19</v>
      </c>
    </row>
    <row r="164" spans="1:11" ht="12.75">
      <c r="A164" s="391"/>
      <c r="B164" s="437"/>
      <c r="C164" s="265" t="s">
        <v>1</v>
      </c>
      <c r="D164" s="252">
        <v>1051041.71</v>
      </c>
      <c r="E164" s="252">
        <v>312399.03</v>
      </c>
      <c r="F164" s="252">
        <v>116988.79</v>
      </c>
      <c r="G164" s="252">
        <v>145443.02</v>
      </c>
      <c r="H164" s="173">
        <f>28.85+155630.06</f>
        <v>155658.91</v>
      </c>
      <c r="I164" s="173">
        <f>1.15+61040.4</f>
        <v>61041.55</v>
      </c>
      <c r="J164" s="603">
        <f>33.74+55181.14</f>
        <v>55214.88</v>
      </c>
      <c r="K164" s="86">
        <f t="shared" si="27"/>
        <v>1897787.89</v>
      </c>
    </row>
    <row r="165" spans="1:11" ht="12.75">
      <c r="A165" s="391"/>
      <c r="B165" s="437"/>
      <c r="C165" s="265" t="s">
        <v>2</v>
      </c>
      <c r="D165" s="252">
        <v>1076792.14</v>
      </c>
      <c r="E165" s="252">
        <v>313135.37</v>
      </c>
      <c r="F165" s="252">
        <v>108946.71</v>
      </c>
      <c r="G165" s="252">
        <v>152500.75</v>
      </c>
      <c r="H165" s="173">
        <f>0.04+121892.17</f>
        <v>121892.20999999999</v>
      </c>
      <c r="I165" s="173">
        <v>40891.72</v>
      </c>
      <c r="J165" s="603">
        <v>38113.26</v>
      </c>
      <c r="K165" s="86">
        <f t="shared" si="27"/>
        <v>1852272.1599999997</v>
      </c>
    </row>
    <row r="166" spans="1:11" ht="12.75">
      <c r="A166" s="391"/>
      <c r="B166" s="437"/>
      <c r="C166" s="265" t="s">
        <v>4</v>
      </c>
      <c r="D166" s="252">
        <f>+D164</f>
        <v>1051041.71</v>
      </c>
      <c r="E166" s="252">
        <f aca="true" t="shared" si="43" ref="E166:J166">+E164</f>
        <v>312399.03</v>
      </c>
      <c r="F166" s="252">
        <f t="shared" si="43"/>
        <v>116988.79</v>
      </c>
      <c r="G166" s="252">
        <f t="shared" si="43"/>
        <v>145443.02</v>
      </c>
      <c r="H166" s="252">
        <f t="shared" si="43"/>
        <v>155658.91</v>
      </c>
      <c r="I166" s="252">
        <f t="shared" si="43"/>
        <v>61041.55</v>
      </c>
      <c r="J166" s="604">
        <f t="shared" si="43"/>
        <v>55214.88</v>
      </c>
      <c r="K166" s="86">
        <f t="shared" si="27"/>
        <v>1897787.89</v>
      </c>
    </row>
    <row r="167" spans="1:11" ht="12.75">
      <c r="A167" s="391"/>
      <c r="B167" s="437"/>
      <c r="C167" s="265" t="s">
        <v>3</v>
      </c>
      <c r="D167" s="252">
        <f>D166+D163</f>
        <v>1195621.02</v>
      </c>
      <c r="E167" s="252">
        <f aca="true" t="shared" si="44" ref="E167:J167">+E165</f>
        <v>313135.37</v>
      </c>
      <c r="F167" s="252">
        <v>113082.39</v>
      </c>
      <c r="G167" s="252">
        <f>G166+G163</f>
        <v>169251.63999999998</v>
      </c>
      <c r="H167" s="252">
        <f t="shared" si="44"/>
        <v>121892.20999999999</v>
      </c>
      <c r="I167" s="252">
        <f t="shared" si="44"/>
        <v>40891.72</v>
      </c>
      <c r="J167" s="604">
        <f t="shared" si="44"/>
        <v>38113.26</v>
      </c>
      <c r="K167" s="86">
        <f t="shared" si="27"/>
        <v>1991987.6099999999</v>
      </c>
    </row>
    <row r="168" spans="1:11" s="3" customFormat="1" ht="13.5" thickBot="1">
      <c r="A168" s="392"/>
      <c r="B168" s="453"/>
      <c r="C168" s="268" t="s">
        <v>199</v>
      </c>
      <c r="D168" s="114">
        <f aca="true" t="shared" si="45" ref="D168:K168">D163+D164-D165</f>
        <v>118828.88000000012</v>
      </c>
      <c r="E168" s="114">
        <f>E163+E164-E165</f>
        <v>32378.71000000002</v>
      </c>
      <c r="F168" s="114">
        <f t="shared" si="45"/>
        <v>18113.79999999999</v>
      </c>
      <c r="G168" s="114">
        <f t="shared" si="45"/>
        <v>16750.889999999985</v>
      </c>
      <c r="H168" s="114">
        <f t="shared" si="45"/>
        <v>91488.86000000002</v>
      </c>
      <c r="I168" s="114">
        <f t="shared" si="45"/>
        <v>49408.64</v>
      </c>
      <c r="J168" s="608">
        <f t="shared" si="45"/>
        <v>49849.13999999999</v>
      </c>
      <c r="K168" s="114">
        <f t="shared" si="45"/>
        <v>376818.9200000004</v>
      </c>
    </row>
    <row r="169" spans="1:11" ht="12.75">
      <c r="A169" s="393" t="s">
        <v>189</v>
      </c>
      <c r="B169" s="393"/>
      <c r="C169" s="376"/>
      <c r="D169" s="121"/>
      <c r="E169" s="121"/>
      <c r="F169" s="121"/>
      <c r="G169" s="121"/>
      <c r="H169" s="121"/>
      <c r="I169" s="121"/>
      <c r="J169" s="615"/>
      <c r="K169" s="358"/>
    </row>
    <row r="170" spans="1:11" ht="12.75">
      <c r="A170" s="531"/>
      <c r="B170" s="531"/>
      <c r="C170" s="270" t="s">
        <v>175</v>
      </c>
      <c r="D170" s="122">
        <f>D109+D115+D121+D133+D139+D145+D151+D157+D163+D127</f>
        <v>365395.88999999996</v>
      </c>
      <c r="E170" s="122">
        <f aca="true" t="shared" si="46" ref="E170:K170">E109+E115+E121+E133+E139+E145+E151+E157+E163+E127</f>
        <v>100133.17</v>
      </c>
      <c r="F170" s="122">
        <f t="shared" si="46"/>
        <v>25534.899999999998</v>
      </c>
      <c r="G170" s="122">
        <f t="shared" si="46"/>
        <v>71565.11</v>
      </c>
      <c r="H170" s="122">
        <f t="shared" si="46"/>
        <v>190055.96000000002</v>
      </c>
      <c r="I170" s="122">
        <f t="shared" si="46"/>
        <v>129771.99</v>
      </c>
      <c r="J170" s="616">
        <f t="shared" si="46"/>
        <v>113581.81</v>
      </c>
      <c r="K170" s="122">
        <f t="shared" si="46"/>
        <v>996038.83</v>
      </c>
    </row>
    <row r="171" spans="1:11" ht="12.75">
      <c r="A171" s="531"/>
      <c r="B171" s="531"/>
      <c r="C171" s="270" t="s">
        <v>1</v>
      </c>
      <c r="D171" s="122">
        <f aca="true" t="shared" si="47" ref="D171:K175">D110+D116+D122+D134+D140+D146+D152+D158+D164+D128</f>
        <v>2684337.76</v>
      </c>
      <c r="E171" s="122">
        <f t="shared" si="47"/>
        <v>963965.8399999999</v>
      </c>
      <c r="F171" s="122">
        <f t="shared" si="47"/>
        <v>322145.91000000003</v>
      </c>
      <c r="G171" s="122">
        <f t="shared" si="47"/>
        <v>431898.76</v>
      </c>
      <c r="H171" s="122">
        <f t="shared" si="47"/>
        <v>282404.23</v>
      </c>
      <c r="I171" s="122">
        <f t="shared" si="47"/>
        <v>205566.55</v>
      </c>
      <c r="J171" s="616">
        <f t="shared" si="47"/>
        <v>165783.48</v>
      </c>
      <c r="K171" s="122">
        <f t="shared" si="47"/>
        <v>5056102.53</v>
      </c>
    </row>
    <row r="172" spans="1:11" ht="12.75">
      <c r="A172" s="531"/>
      <c r="B172" s="531"/>
      <c r="C172" s="270" t="s">
        <v>2</v>
      </c>
      <c r="D172" s="122">
        <f t="shared" si="47"/>
        <v>2796532.46</v>
      </c>
      <c r="E172" s="122">
        <f t="shared" si="47"/>
        <v>986334.54</v>
      </c>
      <c r="F172" s="122">
        <f t="shared" si="47"/>
        <v>299213.81</v>
      </c>
      <c r="G172" s="122">
        <f t="shared" si="47"/>
        <v>462794.84</v>
      </c>
      <c r="H172" s="122">
        <f t="shared" si="47"/>
        <v>264618.20999999996</v>
      </c>
      <c r="I172" s="122">
        <f t="shared" si="47"/>
        <v>154833.62999999998</v>
      </c>
      <c r="J172" s="616">
        <f t="shared" si="47"/>
        <v>120902.31</v>
      </c>
      <c r="K172" s="122">
        <f t="shared" si="47"/>
        <v>5085229.799999999</v>
      </c>
    </row>
    <row r="173" spans="1:11" ht="12.75">
      <c r="A173" s="531"/>
      <c r="B173" s="531"/>
      <c r="C173" s="270" t="s">
        <v>4</v>
      </c>
      <c r="D173" s="122">
        <f t="shared" si="47"/>
        <v>2270791.12</v>
      </c>
      <c r="E173" s="122">
        <f t="shared" si="47"/>
        <v>992820.9899999999</v>
      </c>
      <c r="F173" s="122">
        <f t="shared" si="47"/>
        <v>431957.36999999994</v>
      </c>
      <c r="G173" s="122">
        <f t="shared" si="47"/>
        <v>346345.47</v>
      </c>
      <c r="H173" s="122">
        <f t="shared" si="47"/>
        <v>253756.81</v>
      </c>
      <c r="I173" s="122">
        <f t="shared" si="47"/>
        <v>173508.09000000003</v>
      </c>
      <c r="J173" s="616">
        <f t="shared" si="47"/>
        <v>139591.48</v>
      </c>
      <c r="K173" s="122">
        <f t="shared" si="47"/>
        <v>4608771.33</v>
      </c>
    </row>
    <row r="174" spans="1:11" ht="12.75">
      <c r="A174" s="531"/>
      <c r="B174" s="531"/>
      <c r="C174" s="270" t="s">
        <v>3</v>
      </c>
      <c r="D174" s="122">
        <f t="shared" si="47"/>
        <v>2636187.0100000002</v>
      </c>
      <c r="E174" s="122">
        <f t="shared" si="47"/>
        <v>986334.54</v>
      </c>
      <c r="F174" s="122">
        <f t="shared" si="47"/>
        <v>299213.81</v>
      </c>
      <c r="G174" s="122">
        <f t="shared" si="47"/>
        <v>417126.39</v>
      </c>
      <c r="H174" s="122">
        <f t="shared" si="47"/>
        <v>264618.20999999996</v>
      </c>
      <c r="I174" s="122">
        <f t="shared" si="47"/>
        <v>154833.62999999998</v>
      </c>
      <c r="J174" s="616">
        <f t="shared" si="47"/>
        <v>120902.31</v>
      </c>
      <c r="K174" s="122">
        <f t="shared" si="47"/>
        <v>4879215.8999999985</v>
      </c>
    </row>
    <row r="175" spans="1:11" s="3" customFormat="1" ht="13.5" thickBot="1">
      <c r="A175" s="532"/>
      <c r="B175" s="532"/>
      <c r="C175" s="247" t="s">
        <v>199</v>
      </c>
      <c r="D175" s="170">
        <f t="shared" si="47"/>
        <v>253201.19000000006</v>
      </c>
      <c r="E175" s="170">
        <f t="shared" si="47"/>
        <v>77764.46999999997</v>
      </c>
      <c r="F175" s="170">
        <f t="shared" si="47"/>
        <v>48466.999999999985</v>
      </c>
      <c r="G175" s="170">
        <f t="shared" si="47"/>
        <v>40669.02999999999</v>
      </c>
      <c r="H175" s="170">
        <f t="shared" si="47"/>
        <v>207841.98000000004</v>
      </c>
      <c r="I175" s="170">
        <f t="shared" si="47"/>
        <v>180504.90999999997</v>
      </c>
      <c r="J175" s="623">
        <f t="shared" si="47"/>
        <v>158462.97999999998</v>
      </c>
      <c r="K175" s="170">
        <f t="shared" si="47"/>
        <v>966911.560000001</v>
      </c>
    </row>
    <row r="176" spans="1:11" ht="13.5" customHeight="1">
      <c r="A176" s="379" t="s">
        <v>110</v>
      </c>
      <c r="B176" s="467" t="s">
        <v>24</v>
      </c>
      <c r="C176" s="269" t="s">
        <v>175</v>
      </c>
      <c r="D176" s="275">
        <f>-41.19-8712.72</f>
        <v>-8753.91</v>
      </c>
      <c r="E176" s="275"/>
      <c r="F176" s="275">
        <v>-27.43</v>
      </c>
      <c r="G176" s="275">
        <v>-44.85</v>
      </c>
      <c r="H176" s="363"/>
      <c r="I176" s="363"/>
      <c r="J176" s="624"/>
      <c r="K176" s="90">
        <f aca="true" t="shared" si="48" ref="K176:K193">SUM(D176:J176)</f>
        <v>-8826.19</v>
      </c>
    </row>
    <row r="177" spans="1:11" ht="12.75">
      <c r="A177" s="379"/>
      <c r="B177" s="467"/>
      <c r="C177" s="269" t="s">
        <v>1</v>
      </c>
      <c r="D177" s="252">
        <f>41.19+35370</f>
        <v>35411.19</v>
      </c>
      <c r="E177" s="252"/>
      <c r="F177" s="252"/>
      <c r="G177" s="252"/>
      <c r="H177" s="157"/>
      <c r="I177" s="157"/>
      <c r="J177" s="625"/>
      <c r="K177" s="86">
        <f t="shared" si="48"/>
        <v>35411.19</v>
      </c>
    </row>
    <row r="178" spans="1:11" ht="12.75">
      <c r="A178" s="379"/>
      <c r="B178" s="467"/>
      <c r="C178" s="269" t="s">
        <v>2</v>
      </c>
      <c r="D178" s="252">
        <v>36842.93</v>
      </c>
      <c r="E178" s="252"/>
      <c r="F178" s="252"/>
      <c r="G178" s="252"/>
      <c r="H178" s="157"/>
      <c r="I178" s="157"/>
      <c r="J178" s="625"/>
      <c r="K178" s="86">
        <f t="shared" si="48"/>
        <v>36842.93</v>
      </c>
    </row>
    <row r="179" spans="1:11" ht="12.75">
      <c r="A179" s="379"/>
      <c r="B179" s="467"/>
      <c r="C179" s="269" t="s">
        <v>4</v>
      </c>
      <c r="D179" s="252">
        <f>+D177</f>
        <v>35411.19</v>
      </c>
      <c r="E179" s="252"/>
      <c r="F179" s="252"/>
      <c r="G179" s="252"/>
      <c r="H179" s="252"/>
      <c r="I179" s="252"/>
      <c r="J179" s="604"/>
      <c r="K179" s="86">
        <f t="shared" si="48"/>
        <v>35411.19</v>
      </c>
    </row>
    <row r="180" spans="1:11" ht="12.75">
      <c r="A180" s="379"/>
      <c r="B180" s="467"/>
      <c r="C180" s="269" t="s">
        <v>3</v>
      </c>
      <c r="D180" s="252">
        <f>+D178</f>
        <v>36842.93</v>
      </c>
      <c r="E180" s="252"/>
      <c r="F180" s="252"/>
      <c r="G180" s="252"/>
      <c r="H180" s="252"/>
      <c r="I180" s="252"/>
      <c r="J180" s="604"/>
      <c r="K180" s="86">
        <f t="shared" si="48"/>
        <v>36842.93</v>
      </c>
    </row>
    <row r="181" spans="1:11" s="3" customFormat="1" ht="13.5" thickBot="1">
      <c r="A181" s="379"/>
      <c r="B181" s="467"/>
      <c r="C181" s="18" t="s">
        <v>199</v>
      </c>
      <c r="D181" s="110">
        <f>D176+D177-D178</f>
        <v>-10185.649999999998</v>
      </c>
      <c r="E181" s="110">
        <f>E176+E177-E178</f>
        <v>0</v>
      </c>
      <c r="F181" s="110">
        <f>F176+F177-F178</f>
        <v>-27.43</v>
      </c>
      <c r="G181" s="110">
        <f>G176+G177-G178</f>
        <v>-44.85</v>
      </c>
      <c r="H181" s="110"/>
      <c r="I181" s="110"/>
      <c r="J181" s="626"/>
      <c r="K181" s="78">
        <f t="shared" si="48"/>
        <v>-10257.929999999998</v>
      </c>
    </row>
    <row r="182" spans="1:11" s="3" customFormat="1" ht="12.75">
      <c r="A182" s="533" t="s">
        <v>29</v>
      </c>
      <c r="B182" s="537" t="s">
        <v>30</v>
      </c>
      <c r="C182" s="271" t="s">
        <v>175</v>
      </c>
      <c r="D182" s="251">
        <f>42590.04+252.11+10347.6</f>
        <v>53189.75</v>
      </c>
      <c r="E182" s="251"/>
      <c r="F182" s="106"/>
      <c r="G182" s="106"/>
      <c r="H182" s="106"/>
      <c r="I182" s="106"/>
      <c r="J182" s="610"/>
      <c r="K182" s="90">
        <f t="shared" si="48"/>
        <v>53189.75</v>
      </c>
    </row>
    <row r="183" spans="1:11" s="3" customFormat="1" ht="12.75">
      <c r="A183" s="534"/>
      <c r="B183" s="467"/>
      <c r="C183" s="269" t="s">
        <v>1</v>
      </c>
      <c r="D183" s="252">
        <f>324481.48+1905.47+81686.44</f>
        <v>408073.38999999996</v>
      </c>
      <c r="E183" s="252"/>
      <c r="F183" s="86"/>
      <c r="G183" s="86"/>
      <c r="H183" s="86"/>
      <c r="I183" s="86"/>
      <c r="J183" s="611"/>
      <c r="K183" s="86">
        <f t="shared" si="48"/>
        <v>408073.38999999996</v>
      </c>
    </row>
    <row r="184" spans="1:11" s="3" customFormat="1" ht="12.75">
      <c r="A184" s="534"/>
      <c r="B184" s="467"/>
      <c r="C184" s="269" t="s">
        <v>2</v>
      </c>
      <c r="D184" s="252">
        <f>337105.71+1979.23+84441.32</f>
        <v>423526.26</v>
      </c>
      <c r="E184" s="252"/>
      <c r="F184" s="86"/>
      <c r="G184" s="86"/>
      <c r="H184" s="86"/>
      <c r="I184" s="86"/>
      <c r="J184" s="611"/>
      <c r="K184" s="86">
        <f t="shared" si="48"/>
        <v>423526.26</v>
      </c>
    </row>
    <row r="185" spans="1:11" s="3" customFormat="1" ht="12.75">
      <c r="A185" s="534"/>
      <c r="B185" s="467"/>
      <c r="C185" s="269" t="s">
        <v>4</v>
      </c>
      <c r="D185" s="252">
        <f>+D183</f>
        <v>408073.38999999996</v>
      </c>
      <c r="E185" s="252"/>
      <c r="F185" s="252"/>
      <c r="G185" s="252"/>
      <c r="H185" s="252"/>
      <c r="I185" s="252"/>
      <c r="J185" s="604"/>
      <c r="K185" s="86">
        <f t="shared" si="48"/>
        <v>408073.38999999996</v>
      </c>
    </row>
    <row r="186" spans="1:11" s="3" customFormat="1" ht="12.75">
      <c r="A186" s="534"/>
      <c r="B186" s="467"/>
      <c r="C186" s="269" t="s">
        <v>3</v>
      </c>
      <c r="D186" s="252">
        <f>+D184</f>
        <v>423526.26</v>
      </c>
      <c r="E186" s="252"/>
      <c r="F186" s="252"/>
      <c r="G186" s="252"/>
      <c r="H186" s="252"/>
      <c r="I186" s="252"/>
      <c r="J186" s="604"/>
      <c r="K186" s="86">
        <f t="shared" si="48"/>
        <v>423526.26</v>
      </c>
    </row>
    <row r="187" spans="1:11" s="3" customFormat="1" ht="13.5" thickBot="1">
      <c r="A187" s="536"/>
      <c r="B187" s="538"/>
      <c r="C187" s="238" t="s">
        <v>199</v>
      </c>
      <c r="D187" s="75">
        <f>D182+D183-D184</f>
        <v>37736.87999999995</v>
      </c>
      <c r="E187" s="75">
        <f>E182+E183-E184</f>
        <v>0</v>
      </c>
      <c r="F187" s="75">
        <f>F182+F183-F184</f>
        <v>0</v>
      </c>
      <c r="G187" s="75">
        <f>G182+G183-G184</f>
        <v>0</v>
      </c>
      <c r="H187" s="75"/>
      <c r="I187" s="75"/>
      <c r="J187" s="605"/>
      <c r="K187" s="78">
        <f t="shared" si="48"/>
        <v>37736.87999999995</v>
      </c>
    </row>
    <row r="188" spans="1:11" ht="12.75">
      <c r="A188" s="533" t="s">
        <v>49</v>
      </c>
      <c r="B188" s="537" t="s">
        <v>27</v>
      </c>
      <c r="C188" s="271" t="s">
        <v>175</v>
      </c>
      <c r="D188" s="251">
        <v>10324.73</v>
      </c>
      <c r="E188" s="251">
        <v>2981.43</v>
      </c>
      <c r="F188" s="281">
        <v>-260</v>
      </c>
      <c r="G188" s="281">
        <v>-416</v>
      </c>
      <c r="H188" s="281"/>
      <c r="I188" s="281"/>
      <c r="J188" s="627"/>
      <c r="K188" s="90">
        <f t="shared" si="48"/>
        <v>12630.16</v>
      </c>
    </row>
    <row r="189" spans="1:11" ht="12.75">
      <c r="A189" s="534"/>
      <c r="B189" s="467"/>
      <c r="C189" s="269" t="s">
        <v>1</v>
      </c>
      <c r="D189" s="252">
        <v>72810</v>
      </c>
      <c r="E189" s="252">
        <v>34560</v>
      </c>
      <c r="F189" s="157"/>
      <c r="G189" s="157"/>
      <c r="H189" s="157"/>
      <c r="I189" s="157"/>
      <c r="J189" s="625"/>
      <c r="K189" s="86">
        <f t="shared" si="48"/>
        <v>107370</v>
      </c>
    </row>
    <row r="190" spans="1:11" ht="12.75">
      <c r="A190" s="534"/>
      <c r="B190" s="467"/>
      <c r="C190" s="269" t="s">
        <v>2</v>
      </c>
      <c r="D190" s="252">
        <v>78305.13</v>
      </c>
      <c r="E190" s="252">
        <v>34648.24</v>
      </c>
      <c r="F190" s="157"/>
      <c r="G190" s="157"/>
      <c r="H190" s="157"/>
      <c r="I190" s="157"/>
      <c r="J190" s="625"/>
      <c r="K190" s="86">
        <f t="shared" si="48"/>
        <v>112953.37</v>
      </c>
    </row>
    <row r="191" spans="1:11" ht="12.75">
      <c r="A191" s="534"/>
      <c r="B191" s="467"/>
      <c r="C191" s="269" t="s">
        <v>4</v>
      </c>
      <c r="D191" s="252">
        <f>+D189</f>
        <v>72810</v>
      </c>
      <c r="E191" s="252">
        <f>+E189</f>
        <v>34560</v>
      </c>
      <c r="F191" s="252"/>
      <c r="G191" s="252"/>
      <c r="H191" s="252"/>
      <c r="I191" s="252"/>
      <c r="J191" s="604"/>
      <c r="K191" s="86">
        <f t="shared" si="48"/>
        <v>107370</v>
      </c>
    </row>
    <row r="192" spans="1:11" ht="12.75">
      <c r="A192" s="534"/>
      <c r="B192" s="467"/>
      <c r="C192" s="269" t="s">
        <v>3</v>
      </c>
      <c r="D192" s="252">
        <f>+D190</f>
        <v>78305.13</v>
      </c>
      <c r="E192" s="252">
        <f>+E190</f>
        <v>34648.24</v>
      </c>
      <c r="F192" s="252"/>
      <c r="G192" s="252"/>
      <c r="H192" s="252"/>
      <c r="I192" s="252"/>
      <c r="J192" s="604"/>
      <c r="K192" s="86">
        <f t="shared" si="48"/>
        <v>112953.37</v>
      </c>
    </row>
    <row r="193" spans="1:11" s="3" customFormat="1" ht="13.5" thickBot="1">
      <c r="A193" s="535"/>
      <c r="B193" s="454"/>
      <c r="C193" s="19" t="s">
        <v>199</v>
      </c>
      <c r="D193" s="114">
        <f>D188+D189-D190</f>
        <v>4829.599999999991</v>
      </c>
      <c r="E193" s="114">
        <f>E188+E189-E190</f>
        <v>2893.1900000000023</v>
      </c>
      <c r="F193" s="114">
        <f>F188+F189-F190</f>
        <v>-260</v>
      </c>
      <c r="G193" s="114">
        <f>G188+G189-G190</f>
        <v>-416</v>
      </c>
      <c r="H193" s="114"/>
      <c r="I193" s="114"/>
      <c r="J193" s="608"/>
      <c r="K193" s="111">
        <f t="shared" si="48"/>
        <v>7046.789999999994</v>
      </c>
    </row>
    <row r="194" spans="1:11" ht="12.75">
      <c r="A194" s="393" t="s">
        <v>190</v>
      </c>
      <c r="B194" s="393"/>
      <c r="C194" s="376"/>
      <c r="D194" s="121"/>
      <c r="E194" s="121"/>
      <c r="F194" s="121"/>
      <c r="G194" s="121"/>
      <c r="H194" s="121"/>
      <c r="I194" s="121"/>
      <c r="J194" s="615"/>
      <c r="K194" s="358"/>
    </row>
    <row r="195" spans="1:11" ht="12.75">
      <c r="A195" s="531"/>
      <c r="B195" s="531"/>
      <c r="C195" s="270" t="s">
        <v>175</v>
      </c>
      <c r="D195" s="122">
        <f>+D176+D182+D188</f>
        <v>54760.56999999999</v>
      </c>
      <c r="E195" s="122">
        <f aca="true" t="shared" si="49" ref="E195:K195">+E176+E182+E188</f>
        <v>2981.43</v>
      </c>
      <c r="F195" s="122">
        <f t="shared" si="49"/>
        <v>-287.43</v>
      </c>
      <c r="G195" s="122">
        <f t="shared" si="49"/>
        <v>-460.85</v>
      </c>
      <c r="H195" s="122">
        <f t="shared" si="49"/>
        <v>0</v>
      </c>
      <c r="I195" s="122">
        <f t="shared" si="49"/>
        <v>0</v>
      </c>
      <c r="J195" s="616">
        <f t="shared" si="49"/>
        <v>0</v>
      </c>
      <c r="K195" s="122">
        <f t="shared" si="49"/>
        <v>56993.72</v>
      </c>
    </row>
    <row r="196" spans="1:11" ht="12.75">
      <c r="A196" s="531"/>
      <c r="B196" s="531"/>
      <c r="C196" s="270" t="s">
        <v>1</v>
      </c>
      <c r="D196" s="122">
        <f aca="true" t="shared" si="50" ref="D196:K200">+D177+D183+D189</f>
        <v>516294.57999999996</v>
      </c>
      <c r="E196" s="122">
        <f t="shared" si="50"/>
        <v>34560</v>
      </c>
      <c r="F196" s="122">
        <f t="shared" si="50"/>
        <v>0</v>
      </c>
      <c r="G196" s="122">
        <f t="shared" si="50"/>
        <v>0</v>
      </c>
      <c r="H196" s="122">
        <f t="shared" si="50"/>
        <v>0</v>
      </c>
      <c r="I196" s="122">
        <f t="shared" si="50"/>
        <v>0</v>
      </c>
      <c r="J196" s="616">
        <f t="shared" si="50"/>
        <v>0</v>
      </c>
      <c r="K196" s="122">
        <f t="shared" si="50"/>
        <v>550854.58</v>
      </c>
    </row>
    <row r="197" spans="1:12" ht="12.75">
      <c r="A197" s="531"/>
      <c r="B197" s="531"/>
      <c r="C197" s="270" t="s">
        <v>2</v>
      </c>
      <c r="D197" s="122">
        <f t="shared" si="50"/>
        <v>538674.3200000001</v>
      </c>
      <c r="E197" s="122">
        <f t="shared" si="50"/>
        <v>34648.24</v>
      </c>
      <c r="F197" s="122">
        <f t="shared" si="50"/>
        <v>0</v>
      </c>
      <c r="G197" s="122">
        <f t="shared" si="50"/>
        <v>0</v>
      </c>
      <c r="H197" s="122">
        <f t="shared" si="50"/>
        <v>0</v>
      </c>
      <c r="I197" s="122">
        <f t="shared" si="50"/>
        <v>0</v>
      </c>
      <c r="J197" s="616">
        <f t="shared" si="50"/>
        <v>0</v>
      </c>
      <c r="K197" s="122">
        <f t="shared" si="50"/>
        <v>573322.56</v>
      </c>
      <c r="L197" s="1"/>
    </row>
    <row r="198" spans="1:11" ht="12.75">
      <c r="A198" s="531"/>
      <c r="B198" s="531"/>
      <c r="C198" s="270" t="s">
        <v>4</v>
      </c>
      <c r="D198" s="122">
        <f t="shared" si="50"/>
        <v>516294.57999999996</v>
      </c>
      <c r="E198" s="122">
        <f t="shared" si="50"/>
        <v>34560</v>
      </c>
      <c r="F198" s="122">
        <f t="shared" si="50"/>
        <v>0</v>
      </c>
      <c r="G198" s="122">
        <f t="shared" si="50"/>
        <v>0</v>
      </c>
      <c r="H198" s="122">
        <f t="shared" si="50"/>
        <v>0</v>
      </c>
      <c r="I198" s="122">
        <f t="shared" si="50"/>
        <v>0</v>
      </c>
      <c r="J198" s="616">
        <f t="shared" si="50"/>
        <v>0</v>
      </c>
      <c r="K198" s="122">
        <f t="shared" si="50"/>
        <v>550854.58</v>
      </c>
    </row>
    <row r="199" spans="1:11" ht="12.75">
      <c r="A199" s="531"/>
      <c r="B199" s="531"/>
      <c r="C199" s="270" t="s">
        <v>3</v>
      </c>
      <c r="D199" s="122">
        <f t="shared" si="50"/>
        <v>538674.3200000001</v>
      </c>
      <c r="E199" s="122">
        <f t="shared" si="50"/>
        <v>34648.24</v>
      </c>
      <c r="F199" s="122">
        <f t="shared" si="50"/>
        <v>0</v>
      </c>
      <c r="G199" s="122">
        <f t="shared" si="50"/>
        <v>0</v>
      </c>
      <c r="H199" s="122">
        <f t="shared" si="50"/>
        <v>0</v>
      </c>
      <c r="I199" s="122">
        <f t="shared" si="50"/>
        <v>0</v>
      </c>
      <c r="J199" s="616">
        <f t="shared" si="50"/>
        <v>0</v>
      </c>
      <c r="K199" s="122">
        <f t="shared" si="50"/>
        <v>573322.56</v>
      </c>
    </row>
    <row r="200" spans="1:11" s="3" customFormat="1" ht="13.5" thickBot="1">
      <c r="A200" s="532"/>
      <c r="B200" s="532"/>
      <c r="C200" s="247" t="s">
        <v>199</v>
      </c>
      <c r="D200" s="123">
        <f t="shared" si="50"/>
        <v>32380.82999999994</v>
      </c>
      <c r="E200" s="123">
        <f t="shared" si="50"/>
        <v>2893.1900000000023</v>
      </c>
      <c r="F200" s="123">
        <f t="shared" si="50"/>
        <v>-287.43</v>
      </c>
      <c r="G200" s="123">
        <f t="shared" si="50"/>
        <v>-460.85</v>
      </c>
      <c r="H200" s="123">
        <f t="shared" si="50"/>
        <v>0</v>
      </c>
      <c r="I200" s="123">
        <f t="shared" si="50"/>
        <v>0</v>
      </c>
      <c r="J200" s="617">
        <f t="shared" si="50"/>
        <v>0</v>
      </c>
      <c r="K200" s="123">
        <f t="shared" si="50"/>
        <v>34525.73999999994</v>
      </c>
    </row>
    <row r="201" spans="1:11" ht="12.75">
      <c r="A201" s="393" t="s">
        <v>192</v>
      </c>
      <c r="B201" s="393"/>
      <c r="C201" s="376"/>
      <c r="D201" s="121"/>
      <c r="E201" s="121"/>
      <c r="F201" s="121"/>
      <c r="G201" s="121"/>
      <c r="H201" s="121"/>
      <c r="I201" s="121"/>
      <c r="J201" s="615"/>
      <c r="K201" s="630"/>
    </row>
    <row r="202" spans="1:11" ht="12.75">
      <c r="A202" s="531"/>
      <c r="B202" s="531"/>
      <c r="C202" s="270" t="s">
        <v>175</v>
      </c>
      <c r="D202" s="122">
        <f>+D103+D170+D195</f>
        <v>1163672.4999999998</v>
      </c>
      <c r="E202" s="122">
        <f aca="true" t="shared" si="51" ref="E202:K202">+E103+E170+E195</f>
        <v>489880.13999999996</v>
      </c>
      <c r="F202" s="122">
        <f t="shared" si="51"/>
        <v>88721.49</v>
      </c>
      <c r="G202" s="122">
        <f t="shared" si="51"/>
        <v>145632.72</v>
      </c>
      <c r="H202" s="122">
        <f t="shared" si="51"/>
        <v>705742.04</v>
      </c>
      <c r="I202" s="122">
        <f t="shared" si="51"/>
        <v>495339.76999999996</v>
      </c>
      <c r="J202" s="616">
        <f t="shared" si="51"/>
        <v>471192.37</v>
      </c>
      <c r="K202" s="122">
        <f t="shared" si="51"/>
        <v>3560181.0300000003</v>
      </c>
    </row>
    <row r="203" spans="1:11" ht="12.75">
      <c r="A203" s="531"/>
      <c r="B203" s="531"/>
      <c r="C203" s="270" t="s">
        <v>1</v>
      </c>
      <c r="D203" s="122">
        <f aca="true" t="shared" si="52" ref="D203:K207">+D104+D171+D196</f>
        <v>8156739.09</v>
      </c>
      <c r="E203" s="122">
        <f t="shared" si="52"/>
        <v>3467618.4199999995</v>
      </c>
      <c r="F203" s="122">
        <f t="shared" si="52"/>
        <v>1211552.874</v>
      </c>
      <c r="G203" s="122">
        <f t="shared" si="52"/>
        <v>1647436.34</v>
      </c>
      <c r="H203" s="122">
        <f t="shared" si="52"/>
        <v>1062992.35</v>
      </c>
      <c r="I203" s="122">
        <f t="shared" si="52"/>
        <v>746103.78</v>
      </c>
      <c r="J203" s="616">
        <f t="shared" si="52"/>
        <v>668244.88</v>
      </c>
      <c r="K203" s="122">
        <f t="shared" si="52"/>
        <v>16960687.733999997</v>
      </c>
    </row>
    <row r="204" spans="1:11" ht="12.75">
      <c r="A204" s="531"/>
      <c r="B204" s="531"/>
      <c r="C204" s="270" t="s">
        <v>2</v>
      </c>
      <c r="D204" s="122">
        <f t="shared" si="52"/>
        <v>9198033.600000001</v>
      </c>
      <c r="E204" s="122">
        <f t="shared" si="52"/>
        <v>3503880.3300000005</v>
      </c>
      <c r="F204" s="122">
        <f t="shared" si="52"/>
        <v>1096109.98</v>
      </c>
      <c r="G204" s="122">
        <f t="shared" si="52"/>
        <v>1588282.83</v>
      </c>
      <c r="H204" s="122">
        <f t="shared" si="52"/>
        <v>945036.4</v>
      </c>
      <c r="I204" s="122">
        <f t="shared" si="52"/>
        <v>579397.75</v>
      </c>
      <c r="J204" s="616">
        <f t="shared" si="52"/>
        <v>488707.69000000006</v>
      </c>
      <c r="K204" s="122">
        <f t="shared" si="52"/>
        <v>17399448.58</v>
      </c>
    </row>
    <row r="205" spans="1:11" ht="12.75">
      <c r="A205" s="531"/>
      <c r="B205" s="531"/>
      <c r="C205" s="270" t="s">
        <v>4</v>
      </c>
      <c r="D205" s="122">
        <f t="shared" si="52"/>
        <v>7743192.45</v>
      </c>
      <c r="E205" s="122">
        <f t="shared" si="52"/>
        <v>3496473.5699999994</v>
      </c>
      <c r="F205" s="122">
        <f t="shared" si="52"/>
        <v>1321364.334</v>
      </c>
      <c r="G205" s="122">
        <f t="shared" si="52"/>
        <v>1561883.05</v>
      </c>
      <c r="H205" s="122">
        <f t="shared" si="52"/>
        <v>1034344.9300000002</v>
      </c>
      <c r="I205" s="122">
        <f t="shared" si="52"/>
        <v>714045.3200000001</v>
      </c>
      <c r="J205" s="616">
        <f t="shared" si="52"/>
        <v>642052.88</v>
      </c>
      <c r="K205" s="122">
        <f t="shared" si="52"/>
        <v>16513356.534</v>
      </c>
    </row>
    <row r="206" spans="1:11" ht="12.75">
      <c r="A206" s="531"/>
      <c r="B206" s="531"/>
      <c r="C206" s="270" t="s">
        <v>3</v>
      </c>
      <c r="D206" s="122">
        <f t="shared" si="52"/>
        <v>9198033.6</v>
      </c>
      <c r="E206" s="122">
        <f t="shared" si="52"/>
        <v>3503880.3300000005</v>
      </c>
      <c r="F206" s="122">
        <f t="shared" si="52"/>
        <v>1096109.98</v>
      </c>
      <c r="G206" s="122">
        <f t="shared" si="52"/>
        <v>1588282.83</v>
      </c>
      <c r="H206" s="122">
        <f t="shared" si="52"/>
        <v>945036.4</v>
      </c>
      <c r="I206" s="122">
        <f t="shared" si="52"/>
        <v>579397.75</v>
      </c>
      <c r="J206" s="616">
        <f t="shared" si="52"/>
        <v>488707.69000000006</v>
      </c>
      <c r="K206" s="122">
        <f t="shared" si="52"/>
        <v>17399448.58</v>
      </c>
    </row>
    <row r="207" spans="1:11" s="3" customFormat="1" ht="13.5" thickBot="1">
      <c r="A207" s="532"/>
      <c r="B207" s="532"/>
      <c r="C207" s="247" t="s">
        <v>199</v>
      </c>
      <c r="D207" s="170">
        <f t="shared" si="52"/>
        <v>122377.99000000006</v>
      </c>
      <c r="E207" s="170">
        <f t="shared" si="52"/>
        <v>453618.23000000004</v>
      </c>
      <c r="F207" s="170">
        <f t="shared" si="52"/>
        <v>204164.38400000014</v>
      </c>
      <c r="G207" s="170">
        <f t="shared" si="52"/>
        <v>204786.23000000004</v>
      </c>
      <c r="H207" s="170">
        <f t="shared" si="52"/>
        <v>823697.99</v>
      </c>
      <c r="I207" s="170">
        <f t="shared" si="52"/>
        <v>662045.8</v>
      </c>
      <c r="J207" s="623">
        <f t="shared" si="52"/>
        <v>650729.56</v>
      </c>
      <c r="K207" s="170">
        <f t="shared" si="52"/>
        <v>3121420.1840000013</v>
      </c>
    </row>
  </sheetData>
  <sheetProtection/>
  <mergeCells count="58">
    <mergeCell ref="A1:K1"/>
    <mergeCell ref="A170:B175"/>
    <mergeCell ref="A176:A181"/>
    <mergeCell ref="B151:B156"/>
    <mergeCell ref="A151:A162"/>
    <mergeCell ref="B133:B138"/>
    <mergeCell ref="B109:B114"/>
    <mergeCell ref="A169:C169"/>
    <mergeCell ref="B115:B120"/>
    <mergeCell ref="B139:B144"/>
    <mergeCell ref="D2:H2"/>
    <mergeCell ref="B78:B83"/>
    <mergeCell ref="B90:B95"/>
    <mergeCell ref="D3:J3"/>
    <mergeCell ref="B54:B59"/>
    <mergeCell ref="A6:A11"/>
    <mergeCell ref="B6:B11"/>
    <mergeCell ref="B60:B65"/>
    <mergeCell ref="A48:A53"/>
    <mergeCell ref="B121:B126"/>
    <mergeCell ref="A30:A47"/>
    <mergeCell ref="B96:B101"/>
    <mergeCell ref="A96:A101"/>
    <mergeCell ref="A102:C102"/>
    <mergeCell ref="B48:B53"/>
    <mergeCell ref="B66:B71"/>
    <mergeCell ref="A66:A77"/>
    <mergeCell ref="B72:B77"/>
    <mergeCell ref="A54:A65"/>
    <mergeCell ref="K3:K4"/>
    <mergeCell ref="B12:B17"/>
    <mergeCell ref="B18:B23"/>
    <mergeCell ref="B42:B47"/>
    <mergeCell ref="A3:B5"/>
    <mergeCell ref="C3:C4"/>
    <mergeCell ref="B36:B41"/>
    <mergeCell ref="B30:B35"/>
    <mergeCell ref="A12:A29"/>
    <mergeCell ref="B24:B29"/>
    <mergeCell ref="A202:B207"/>
    <mergeCell ref="A201:C201"/>
    <mergeCell ref="B176:B181"/>
    <mergeCell ref="A195:B200"/>
    <mergeCell ref="A188:A193"/>
    <mergeCell ref="A182:A187"/>
    <mergeCell ref="B182:B187"/>
    <mergeCell ref="B188:B193"/>
    <mergeCell ref="A194:C194"/>
    <mergeCell ref="A163:A168"/>
    <mergeCell ref="B163:B168"/>
    <mergeCell ref="B157:B162"/>
    <mergeCell ref="B84:B89"/>
    <mergeCell ref="A78:A95"/>
    <mergeCell ref="B127:B132"/>
    <mergeCell ref="B145:B150"/>
    <mergeCell ref="A109:A132"/>
    <mergeCell ref="A133:A150"/>
    <mergeCell ref="A103:B108"/>
  </mergeCells>
  <printOptions/>
  <pageMargins left="0.17" right="0.1968503937007874" top="0.17" bottom="0.1968503937007874" header="0.17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7"/>
  <sheetViews>
    <sheetView zoomScalePageLayoutView="0" workbookViewId="0" topLeftCell="A1">
      <selection activeCell="K352" sqref="K352"/>
    </sheetView>
  </sheetViews>
  <sheetFormatPr defaultColWidth="9.00390625" defaultRowHeight="12.75"/>
  <cols>
    <col min="1" max="1" width="6.25390625" style="7" customWidth="1"/>
    <col min="2" max="2" width="7.125" style="7" customWidth="1"/>
    <col min="3" max="3" width="22.75390625" style="27" customWidth="1"/>
    <col min="4" max="4" width="14.25390625" style="27" customWidth="1"/>
    <col min="5" max="5" width="14.625" style="27" customWidth="1"/>
    <col min="6" max="6" width="12.00390625" style="4" customWidth="1"/>
    <col min="7" max="7" width="9.75390625" style="27" bestFit="1" customWidth="1"/>
    <col min="8" max="16384" width="9.125" style="27" customWidth="1"/>
  </cols>
  <sheetData>
    <row r="1" spans="1:6" s="10" customFormat="1" ht="15.75">
      <c r="A1" s="425" t="s">
        <v>198</v>
      </c>
      <c r="B1" s="425"/>
      <c r="C1" s="425"/>
      <c r="D1" s="425"/>
      <c r="E1" s="425"/>
      <c r="F1" s="425"/>
    </row>
    <row r="2" spans="1:6" s="10" customFormat="1" ht="16.5" thickBot="1">
      <c r="A2" s="424"/>
      <c r="B2" s="424"/>
      <c r="C2" s="424"/>
      <c r="D2" s="424"/>
      <c r="E2" s="424"/>
      <c r="F2" s="424"/>
    </row>
    <row r="3" spans="1:6" s="24" customFormat="1" ht="12.75" customHeight="1" thickBot="1">
      <c r="A3" s="443" t="s">
        <v>8</v>
      </c>
      <c r="B3" s="443"/>
      <c r="C3" s="413" t="s">
        <v>179</v>
      </c>
      <c r="D3" s="444" t="s">
        <v>116</v>
      </c>
      <c r="E3" s="444" t="s">
        <v>117</v>
      </c>
      <c r="F3" s="446" t="s">
        <v>48</v>
      </c>
    </row>
    <row r="4" spans="1:6" s="25" customFormat="1" ht="41.25" customHeight="1" thickBot="1">
      <c r="A4" s="443"/>
      <c r="B4" s="443"/>
      <c r="C4" s="414"/>
      <c r="D4" s="445"/>
      <c r="E4" s="445"/>
      <c r="F4" s="446"/>
    </row>
    <row r="5" spans="1:6" s="24" customFormat="1" ht="13.5" customHeight="1" thickBot="1">
      <c r="A5" s="443"/>
      <c r="B5" s="443"/>
      <c r="C5" s="6" t="s">
        <v>9</v>
      </c>
      <c r="D5" s="5">
        <v>1</v>
      </c>
      <c r="E5" s="5">
        <v>2</v>
      </c>
      <c r="F5" s="5">
        <v>3</v>
      </c>
    </row>
    <row r="6" spans="1:6" s="24" customFormat="1" ht="13.5" thickBot="1">
      <c r="A6" s="428" t="s">
        <v>5</v>
      </c>
      <c r="B6" s="429" t="s">
        <v>6</v>
      </c>
      <c r="C6" s="51" t="s">
        <v>175</v>
      </c>
      <c r="D6" s="214">
        <v>65101.09</v>
      </c>
      <c r="E6" s="222">
        <v>90598.04</v>
      </c>
      <c r="F6" s="106">
        <f>SUM(D6:E6)</f>
        <v>155699.13</v>
      </c>
    </row>
    <row r="7" spans="1:6" s="24" customFormat="1" ht="13.5" thickBot="1">
      <c r="A7" s="428"/>
      <c r="B7" s="429"/>
      <c r="C7" s="39" t="s">
        <v>1</v>
      </c>
      <c r="D7" s="173">
        <v>296671</v>
      </c>
      <c r="E7" s="217">
        <v>286516.99</v>
      </c>
      <c r="F7" s="86">
        <f aca="true" t="shared" si="0" ref="F7:F82">SUM(D7:E7)</f>
        <v>583187.99</v>
      </c>
    </row>
    <row r="8" spans="1:6" s="24" customFormat="1" ht="13.5" thickBot="1">
      <c r="A8" s="428"/>
      <c r="B8" s="429"/>
      <c r="C8" s="39" t="s">
        <v>2</v>
      </c>
      <c r="D8" s="173">
        <v>278272.53</v>
      </c>
      <c r="E8" s="217">
        <v>253719.4</v>
      </c>
      <c r="F8" s="86">
        <f t="shared" si="0"/>
        <v>531991.93</v>
      </c>
    </row>
    <row r="9" spans="1:6" s="24" customFormat="1" ht="13.5" thickBot="1">
      <c r="A9" s="428"/>
      <c r="B9" s="429"/>
      <c r="C9" s="39" t="s">
        <v>4</v>
      </c>
      <c r="D9" s="173">
        <f>+D7</f>
        <v>296671</v>
      </c>
      <c r="E9" s="223">
        <f>+E7</f>
        <v>286516.99</v>
      </c>
      <c r="F9" s="86">
        <f t="shared" si="0"/>
        <v>583187.99</v>
      </c>
    </row>
    <row r="10" spans="1:6" s="24" customFormat="1" ht="13.5" thickBot="1">
      <c r="A10" s="428"/>
      <c r="B10" s="429"/>
      <c r="C10" s="39" t="s">
        <v>3</v>
      </c>
      <c r="D10" s="173">
        <f>+D8</f>
        <v>278272.53</v>
      </c>
      <c r="E10" s="223">
        <f>+E8</f>
        <v>253719.4</v>
      </c>
      <c r="F10" s="86">
        <f t="shared" si="0"/>
        <v>531991.93</v>
      </c>
    </row>
    <row r="11" spans="1:6" s="3" customFormat="1" ht="13.5" thickBot="1">
      <c r="A11" s="428"/>
      <c r="B11" s="429"/>
      <c r="C11" s="40" t="s">
        <v>199</v>
      </c>
      <c r="D11" s="75">
        <f>D6+D7-D8</f>
        <v>83499.55999999994</v>
      </c>
      <c r="E11" s="76">
        <f>E6+E7-E8</f>
        <v>123395.62999999998</v>
      </c>
      <c r="F11" s="78">
        <f t="shared" si="0"/>
        <v>206895.18999999992</v>
      </c>
    </row>
    <row r="12" spans="1:6" s="3" customFormat="1" ht="13.5" thickBot="1">
      <c r="A12" s="428"/>
      <c r="B12" s="429" t="s">
        <v>7</v>
      </c>
      <c r="C12" s="51" t="s">
        <v>175</v>
      </c>
      <c r="D12" s="177">
        <v>43362.8</v>
      </c>
      <c r="E12" s="224">
        <v>67408.82</v>
      </c>
      <c r="F12" s="90">
        <f aca="true" t="shared" si="1" ref="F12:F17">SUM(D12:E12)</f>
        <v>110771.62000000001</v>
      </c>
    </row>
    <row r="13" spans="1:6" s="3" customFormat="1" ht="13.5" thickBot="1">
      <c r="A13" s="428"/>
      <c r="B13" s="429"/>
      <c r="C13" s="39" t="s">
        <v>1</v>
      </c>
      <c r="D13" s="177">
        <v>244305.37</v>
      </c>
      <c r="E13" s="223">
        <v>241309.99</v>
      </c>
      <c r="F13" s="86">
        <f t="shared" si="1"/>
        <v>485615.36</v>
      </c>
    </row>
    <row r="14" spans="1:6" s="3" customFormat="1" ht="13.5" thickBot="1">
      <c r="A14" s="428"/>
      <c r="B14" s="429"/>
      <c r="C14" s="39" t="s">
        <v>2</v>
      </c>
      <c r="D14" s="177">
        <v>220896.63</v>
      </c>
      <c r="E14" s="223">
        <v>209084.02</v>
      </c>
      <c r="F14" s="86">
        <f t="shared" si="1"/>
        <v>429980.65</v>
      </c>
    </row>
    <row r="15" spans="1:6" s="3" customFormat="1" ht="13.5" thickBot="1">
      <c r="A15" s="428"/>
      <c r="B15" s="429"/>
      <c r="C15" s="39" t="s">
        <v>4</v>
      </c>
      <c r="D15" s="173">
        <f>+D13</f>
        <v>244305.37</v>
      </c>
      <c r="E15" s="223">
        <f>+E13</f>
        <v>241309.99</v>
      </c>
      <c r="F15" s="86">
        <f t="shared" si="1"/>
        <v>485615.36</v>
      </c>
    </row>
    <row r="16" spans="1:6" s="3" customFormat="1" ht="13.5" thickBot="1">
      <c r="A16" s="428"/>
      <c r="B16" s="429"/>
      <c r="C16" s="39" t="s">
        <v>3</v>
      </c>
      <c r="D16" s="173">
        <f>+D14</f>
        <v>220896.63</v>
      </c>
      <c r="E16" s="223">
        <f>+E14</f>
        <v>209084.02</v>
      </c>
      <c r="F16" s="86">
        <f t="shared" si="1"/>
        <v>429980.65</v>
      </c>
    </row>
    <row r="17" spans="1:6" s="3" customFormat="1" ht="13.5" thickBot="1">
      <c r="A17" s="428"/>
      <c r="B17" s="429"/>
      <c r="C17" s="40" t="s">
        <v>199</v>
      </c>
      <c r="D17" s="75">
        <f>D12+D13-D14</f>
        <v>66771.53999999998</v>
      </c>
      <c r="E17" s="76">
        <f>E12+E13-E14</f>
        <v>99634.79000000001</v>
      </c>
      <c r="F17" s="78">
        <f t="shared" si="1"/>
        <v>166406.33</v>
      </c>
    </row>
    <row r="18" spans="1:6" s="24" customFormat="1" ht="13.5" thickBot="1">
      <c r="A18" s="428"/>
      <c r="B18" s="429" t="s">
        <v>138</v>
      </c>
      <c r="C18" s="51" t="s">
        <v>175</v>
      </c>
      <c r="D18" s="233">
        <v>-12.57</v>
      </c>
      <c r="E18" s="217">
        <v>-13.47</v>
      </c>
      <c r="F18" s="90">
        <f t="shared" si="0"/>
        <v>-26.04</v>
      </c>
    </row>
    <row r="19" spans="1:6" s="24" customFormat="1" ht="13.5" thickBot="1">
      <c r="A19" s="428"/>
      <c r="B19" s="429"/>
      <c r="C19" s="39" t="s">
        <v>1</v>
      </c>
      <c r="D19" s="173">
        <v>33.58</v>
      </c>
      <c r="E19" s="217">
        <v>29.16</v>
      </c>
      <c r="F19" s="86">
        <f t="shared" si="0"/>
        <v>62.739999999999995</v>
      </c>
    </row>
    <row r="20" spans="1:6" s="24" customFormat="1" ht="13.5" thickBot="1">
      <c r="A20" s="428"/>
      <c r="B20" s="429"/>
      <c r="C20" s="39" t="s">
        <v>2</v>
      </c>
      <c r="D20" s="173">
        <v>21.01</v>
      </c>
      <c r="E20" s="217">
        <v>15.69</v>
      </c>
      <c r="F20" s="86">
        <f t="shared" si="0"/>
        <v>36.7</v>
      </c>
    </row>
    <row r="21" spans="1:6" s="24" customFormat="1" ht="13.5" thickBot="1">
      <c r="A21" s="428"/>
      <c r="B21" s="429"/>
      <c r="C21" s="39" t="s">
        <v>4</v>
      </c>
      <c r="D21" s="173">
        <f>+D19</f>
        <v>33.58</v>
      </c>
      <c r="E21" s="223">
        <f>+E19</f>
        <v>29.16</v>
      </c>
      <c r="F21" s="86">
        <f t="shared" si="0"/>
        <v>62.739999999999995</v>
      </c>
    </row>
    <row r="22" spans="1:6" s="24" customFormat="1" ht="13.5" thickBot="1">
      <c r="A22" s="428"/>
      <c r="B22" s="429"/>
      <c r="C22" s="39" t="s">
        <v>3</v>
      </c>
      <c r="D22" s="173">
        <f>+D20</f>
        <v>21.01</v>
      </c>
      <c r="E22" s="223">
        <f>+E20</f>
        <v>15.69</v>
      </c>
      <c r="F22" s="86">
        <f t="shared" si="0"/>
        <v>36.7</v>
      </c>
    </row>
    <row r="23" spans="1:6" s="3" customFormat="1" ht="13.5" thickBot="1">
      <c r="A23" s="428"/>
      <c r="B23" s="429"/>
      <c r="C23" s="40" t="s">
        <v>199</v>
      </c>
      <c r="D23" s="75">
        <f>D18+D19-D20</f>
        <v>0</v>
      </c>
      <c r="E23" s="76">
        <f>E18+E19-E20</f>
        <v>0</v>
      </c>
      <c r="F23" s="111">
        <f t="shared" si="0"/>
        <v>0</v>
      </c>
    </row>
    <row r="24" spans="1:6" s="3" customFormat="1" ht="13.5" customHeight="1" hidden="1" thickBot="1">
      <c r="A24" s="434" t="s">
        <v>62</v>
      </c>
      <c r="B24" s="429" t="s">
        <v>10</v>
      </c>
      <c r="C24" s="51" t="s">
        <v>156</v>
      </c>
      <c r="D24" s="90"/>
      <c r="E24" s="107"/>
      <c r="F24" s="86">
        <f t="shared" si="0"/>
        <v>0</v>
      </c>
    </row>
    <row r="25" spans="1:6" s="3" customFormat="1" ht="13.5" customHeight="1" hidden="1" thickBot="1">
      <c r="A25" s="433"/>
      <c r="B25" s="429"/>
      <c r="C25" s="39" t="s">
        <v>1</v>
      </c>
      <c r="D25" s="86"/>
      <c r="E25" s="88"/>
      <c r="F25" s="86">
        <f t="shared" si="0"/>
        <v>0</v>
      </c>
    </row>
    <row r="26" spans="1:6" s="3" customFormat="1" ht="13.5" customHeight="1" hidden="1" thickBot="1">
      <c r="A26" s="433"/>
      <c r="B26" s="429"/>
      <c r="C26" s="39" t="s">
        <v>2</v>
      </c>
      <c r="D26" s="86"/>
      <c r="E26" s="88"/>
      <c r="F26" s="86">
        <f t="shared" si="0"/>
        <v>0</v>
      </c>
    </row>
    <row r="27" spans="1:6" s="3" customFormat="1" ht="13.5" customHeight="1" hidden="1" thickBot="1">
      <c r="A27" s="433"/>
      <c r="B27" s="429"/>
      <c r="C27" s="39" t="s">
        <v>4</v>
      </c>
      <c r="D27" s="112">
        <f>D25</f>
        <v>0</v>
      </c>
      <c r="E27" s="108">
        <f>E25</f>
        <v>0</v>
      </c>
      <c r="F27" s="86">
        <f t="shared" si="0"/>
        <v>0</v>
      </c>
    </row>
    <row r="28" spans="1:6" s="3" customFormat="1" ht="13.5" customHeight="1" hidden="1" thickBot="1">
      <c r="A28" s="433"/>
      <c r="B28" s="429"/>
      <c r="C28" s="39" t="s">
        <v>3</v>
      </c>
      <c r="D28" s="112">
        <f>D25</f>
        <v>0</v>
      </c>
      <c r="E28" s="108">
        <f>E25</f>
        <v>0</v>
      </c>
      <c r="F28" s="86">
        <f t="shared" si="0"/>
        <v>0</v>
      </c>
    </row>
    <row r="29" spans="1:6" s="3" customFormat="1" ht="13.5" customHeight="1" hidden="1" thickBot="1">
      <c r="A29" s="433"/>
      <c r="B29" s="429"/>
      <c r="C29" s="40" t="s">
        <v>160</v>
      </c>
      <c r="D29" s="110">
        <f>D24+D25-D26</f>
        <v>0</v>
      </c>
      <c r="E29" s="109">
        <f>E24+E25-E26</f>
        <v>0</v>
      </c>
      <c r="F29" s="86">
        <f t="shared" si="0"/>
        <v>0</v>
      </c>
    </row>
    <row r="30" spans="1:6" s="3" customFormat="1" ht="13.5" customHeight="1" hidden="1" thickBot="1">
      <c r="A30" s="433"/>
      <c r="B30" s="429" t="s">
        <v>12</v>
      </c>
      <c r="C30" s="51" t="s">
        <v>156</v>
      </c>
      <c r="D30" s="86"/>
      <c r="E30" s="88"/>
      <c r="F30" s="86">
        <f t="shared" si="0"/>
        <v>0</v>
      </c>
    </row>
    <row r="31" spans="1:6" s="3" customFormat="1" ht="13.5" customHeight="1" hidden="1" thickBot="1">
      <c r="A31" s="433"/>
      <c r="B31" s="429"/>
      <c r="C31" s="39" t="s">
        <v>1</v>
      </c>
      <c r="D31" s="86"/>
      <c r="E31" s="88"/>
      <c r="F31" s="86">
        <f t="shared" si="0"/>
        <v>0</v>
      </c>
    </row>
    <row r="32" spans="1:6" s="3" customFormat="1" ht="13.5" customHeight="1" hidden="1" thickBot="1">
      <c r="A32" s="433"/>
      <c r="B32" s="429"/>
      <c r="C32" s="39" t="s">
        <v>2</v>
      </c>
      <c r="D32" s="86"/>
      <c r="E32" s="88"/>
      <c r="F32" s="86">
        <f t="shared" si="0"/>
        <v>0</v>
      </c>
    </row>
    <row r="33" spans="1:6" s="3" customFormat="1" ht="13.5" customHeight="1" hidden="1" thickBot="1">
      <c r="A33" s="433"/>
      <c r="B33" s="429"/>
      <c r="C33" s="39" t="s">
        <v>4</v>
      </c>
      <c r="D33" s="112">
        <f>D31</f>
        <v>0</v>
      </c>
      <c r="E33" s="108">
        <f>E31</f>
        <v>0</v>
      </c>
      <c r="F33" s="86">
        <f t="shared" si="0"/>
        <v>0</v>
      </c>
    </row>
    <row r="34" spans="1:6" s="3" customFormat="1" ht="13.5" customHeight="1" hidden="1" thickBot="1">
      <c r="A34" s="433"/>
      <c r="B34" s="429"/>
      <c r="C34" s="39" t="s">
        <v>3</v>
      </c>
      <c r="D34" s="112">
        <f>D31</f>
        <v>0</v>
      </c>
      <c r="E34" s="108">
        <f>E31</f>
        <v>0</v>
      </c>
      <c r="F34" s="86">
        <f t="shared" si="0"/>
        <v>0</v>
      </c>
    </row>
    <row r="35" spans="1:6" s="3" customFormat="1" ht="13.5" customHeight="1" hidden="1" thickBot="1">
      <c r="A35" s="435"/>
      <c r="B35" s="430"/>
      <c r="C35" s="40" t="s">
        <v>160</v>
      </c>
      <c r="D35" s="114">
        <f>D30+D31-D32</f>
        <v>0</v>
      </c>
      <c r="E35" s="113">
        <f>E30+E31-E32</f>
        <v>0</v>
      </c>
      <c r="F35" s="89">
        <f t="shared" si="0"/>
        <v>0</v>
      </c>
    </row>
    <row r="36" spans="1:6" s="24" customFormat="1" ht="12.75" customHeight="1" thickBot="1">
      <c r="A36" s="428" t="s">
        <v>11</v>
      </c>
      <c r="B36" s="429" t="s">
        <v>10</v>
      </c>
      <c r="C36" s="51" t="s">
        <v>175</v>
      </c>
      <c r="D36" s="177">
        <v>248220.86</v>
      </c>
      <c r="E36" s="217">
        <v>221546.95</v>
      </c>
      <c r="F36" s="106">
        <f t="shared" si="0"/>
        <v>469767.81</v>
      </c>
    </row>
    <row r="37" spans="1:6" s="24" customFormat="1" ht="13.5" thickBot="1">
      <c r="A37" s="428"/>
      <c r="B37" s="429"/>
      <c r="C37" s="39" t="s">
        <v>1</v>
      </c>
      <c r="D37" s="177">
        <v>2123348.7</v>
      </c>
      <c r="E37" s="217">
        <v>2273763.72</v>
      </c>
      <c r="F37" s="86">
        <f t="shared" si="0"/>
        <v>4397112.42</v>
      </c>
    </row>
    <row r="38" spans="1:6" s="24" customFormat="1" ht="13.5" thickBot="1">
      <c r="A38" s="428"/>
      <c r="B38" s="429"/>
      <c r="C38" s="39" t="s">
        <v>2</v>
      </c>
      <c r="D38" s="177">
        <v>2221537.37</v>
      </c>
      <c r="E38" s="217">
        <v>2158018.26</v>
      </c>
      <c r="F38" s="86">
        <f t="shared" si="0"/>
        <v>4379555.63</v>
      </c>
    </row>
    <row r="39" spans="1:6" s="24" customFormat="1" ht="13.5" thickBot="1">
      <c r="A39" s="428"/>
      <c r="B39" s="429"/>
      <c r="C39" s="39" t="s">
        <v>4</v>
      </c>
      <c r="D39" s="173">
        <f>+D37</f>
        <v>2123348.7</v>
      </c>
      <c r="E39" s="223">
        <f>+E37</f>
        <v>2273763.72</v>
      </c>
      <c r="F39" s="86">
        <f t="shared" si="0"/>
        <v>4397112.42</v>
      </c>
    </row>
    <row r="40" spans="1:6" s="24" customFormat="1" ht="13.5" thickBot="1">
      <c r="A40" s="428"/>
      <c r="B40" s="429"/>
      <c r="C40" s="39" t="s">
        <v>3</v>
      </c>
      <c r="D40" s="173">
        <f>+D38</f>
        <v>2221537.37</v>
      </c>
      <c r="E40" s="223">
        <f>+E38</f>
        <v>2158018.26</v>
      </c>
      <c r="F40" s="86">
        <f t="shared" si="0"/>
        <v>4379555.63</v>
      </c>
    </row>
    <row r="41" spans="1:6" s="3" customFormat="1" ht="13.5" thickBot="1">
      <c r="A41" s="428"/>
      <c r="B41" s="429"/>
      <c r="C41" s="40" t="s">
        <v>199</v>
      </c>
      <c r="D41" s="75">
        <f>D36+D37-D38</f>
        <v>150032.18999999994</v>
      </c>
      <c r="E41" s="76">
        <f>E36+E37-E38</f>
        <v>337292.4100000006</v>
      </c>
      <c r="F41" s="78">
        <f t="shared" si="0"/>
        <v>487324.60000000056</v>
      </c>
    </row>
    <row r="42" spans="1:6" s="24" customFormat="1" ht="13.5" thickBot="1">
      <c r="A42" s="428"/>
      <c r="B42" s="432" t="s">
        <v>12</v>
      </c>
      <c r="C42" s="51" t="s">
        <v>175</v>
      </c>
      <c r="D42" s="177">
        <v>84772.17</v>
      </c>
      <c r="E42" s="224">
        <v>111265.72</v>
      </c>
      <c r="F42" s="90">
        <f t="shared" si="0"/>
        <v>196037.89</v>
      </c>
    </row>
    <row r="43" spans="1:6" s="24" customFormat="1" ht="13.5" thickBot="1">
      <c r="A43" s="428"/>
      <c r="B43" s="429"/>
      <c r="C43" s="39" t="s">
        <v>1</v>
      </c>
      <c r="D43" s="177">
        <v>401448.96</v>
      </c>
      <c r="E43" s="223">
        <v>373181.52</v>
      </c>
      <c r="F43" s="86">
        <f t="shared" si="0"/>
        <v>774630.48</v>
      </c>
    </row>
    <row r="44" spans="1:6" s="24" customFormat="1" ht="13.5" thickBot="1">
      <c r="A44" s="428"/>
      <c r="B44" s="429"/>
      <c r="C44" s="39" t="s">
        <v>2</v>
      </c>
      <c r="D44" s="234">
        <v>381143.39</v>
      </c>
      <c r="E44" s="225">
        <v>330426.37</v>
      </c>
      <c r="F44" s="86">
        <f t="shared" si="0"/>
        <v>711569.76</v>
      </c>
    </row>
    <row r="45" spans="1:6" s="24" customFormat="1" ht="13.5" thickBot="1">
      <c r="A45" s="428"/>
      <c r="B45" s="429"/>
      <c r="C45" s="39" t="s">
        <v>4</v>
      </c>
      <c r="D45" s="173">
        <f>+D43</f>
        <v>401448.96</v>
      </c>
      <c r="E45" s="223">
        <f>+E43</f>
        <v>373181.52</v>
      </c>
      <c r="F45" s="86">
        <f t="shared" si="0"/>
        <v>774630.48</v>
      </c>
    </row>
    <row r="46" spans="1:6" s="24" customFormat="1" ht="13.5" thickBot="1">
      <c r="A46" s="428"/>
      <c r="B46" s="429"/>
      <c r="C46" s="39" t="s">
        <v>3</v>
      </c>
      <c r="D46" s="173">
        <f>+D44</f>
        <v>381143.39</v>
      </c>
      <c r="E46" s="223">
        <f>+E44</f>
        <v>330426.37</v>
      </c>
      <c r="F46" s="86">
        <f t="shared" si="0"/>
        <v>711569.76</v>
      </c>
    </row>
    <row r="47" spans="1:6" s="3" customFormat="1" ht="13.5" thickBot="1">
      <c r="A47" s="428"/>
      <c r="B47" s="429"/>
      <c r="C47" s="40" t="s">
        <v>199</v>
      </c>
      <c r="D47" s="75">
        <f>D42+D43-D44</f>
        <v>105077.73999999999</v>
      </c>
      <c r="E47" s="76">
        <f>E42+E43-E44</f>
        <v>154020.87</v>
      </c>
      <c r="F47" s="78">
        <f t="shared" si="0"/>
        <v>259098.61</v>
      </c>
    </row>
    <row r="48" spans="1:6" s="3" customFormat="1" ht="13.5" thickBot="1">
      <c r="A48" s="428"/>
      <c r="B48" s="432" t="s">
        <v>139</v>
      </c>
      <c r="C48" s="51" t="s">
        <v>175</v>
      </c>
      <c r="D48" s="177">
        <v>-18.66</v>
      </c>
      <c r="E48" s="224">
        <v>-20</v>
      </c>
      <c r="F48" s="90">
        <f aca="true" t="shared" si="2" ref="F48:F59">SUM(D48:E48)</f>
        <v>-38.66</v>
      </c>
    </row>
    <row r="49" spans="1:6" s="3" customFormat="1" ht="13.5" thickBot="1">
      <c r="A49" s="428"/>
      <c r="B49" s="429"/>
      <c r="C49" s="39" t="s">
        <v>1</v>
      </c>
      <c r="D49" s="177">
        <v>51.9</v>
      </c>
      <c r="E49" s="223">
        <v>44.75</v>
      </c>
      <c r="F49" s="86">
        <f t="shared" si="2"/>
        <v>96.65</v>
      </c>
    </row>
    <row r="50" spans="1:6" s="3" customFormat="1" ht="13.5" thickBot="1">
      <c r="A50" s="428"/>
      <c r="B50" s="429"/>
      <c r="C50" s="39" t="s">
        <v>2</v>
      </c>
      <c r="D50" s="177">
        <v>33.24</v>
      </c>
      <c r="E50" s="223">
        <v>24.75</v>
      </c>
      <c r="F50" s="86">
        <f t="shared" si="2"/>
        <v>57.99</v>
      </c>
    </row>
    <row r="51" spans="1:6" s="3" customFormat="1" ht="13.5" thickBot="1">
      <c r="A51" s="428"/>
      <c r="B51" s="429"/>
      <c r="C51" s="39" t="s">
        <v>4</v>
      </c>
      <c r="D51" s="173">
        <f>+D49</f>
        <v>51.9</v>
      </c>
      <c r="E51" s="223">
        <f>+E49</f>
        <v>44.75</v>
      </c>
      <c r="F51" s="86">
        <f t="shared" si="2"/>
        <v>96.65</v>
      </c>
    </row>
    <row r="52" spans="1:6" s="3" customFormat="1" ht="13.5" thickBot="1">
      <c r="A52" s="428"/>
      <c r="B52" s="429"/>
      <c r="C52" s="39" t="s">
        <v>3</v>
      </c>
      <c r="D52" s="173">
        <f>+D50</f>
        <v>33.24</v>
      </c>
      <c r="E52" s="223">
        <f>+E50</f>
        <v>24.75</v>
      </c>
      <c r="F52" s="86">
        <f t="shared" si="2"/>
        <v>57.99</v>
      </c>
    </row>
    <row r="53" spans="1:6" s="3" customFormat="1" ht="13.5" thickBot="1">
      <c r="A53" s="428"/>
      <c r="B53" s="429"/>
      <c r="C53" s="40" t="s">
        <v>199</v>
      </c>
      <c r="D53" s="75">
        <f>D48+D49-D50</f>
        <v>0</v>
      </c>
      <c r="E53" s="76">
        <f>E48+E49-E50</f>
        <v>0</v>
      </c>
      <c r="F53" s="115">
        <f t="shared" si="2"/>
        <v>0</v>
      </c>
    </row>
    <row r="54" spans="1:6" s="3" customFormat="1" ht="13.5" thickBot="1">
      <c r="A54" s="428"/>
      <c r="B54" s="430" t="s">
        <v>163</v>
      </c>
      <c r="C54" s="51" t="s">
        <v>175</v>
      </c>
      <c r="D54" s="179">
        <v>-24994.29</v>
      </c>
      <c r="E54" s="224">
        <v>-17796.59</v>
      </c>
      <c r="F54" s="106">
        <f t="shared" si="2"/>
        <v>-42790.880000000005</v>
      </c>
    </row>
    <row r="55" spans="1:6" s="3" customFormat="1" ht="13.5" thickBot="1">
      <c r="A55" s="428"/>
      <c r="B55" s="431"/>
      <c r="C55" s="39" t="s">
        <v>1</v>
      </c>
      <c r="D55" s="177">
        <v>25420.4</v>
      </c>
      <c r="E55" s="223">
        <v>18094.57</v>
      </c>
      <c r="F55" s="86">
        <f t="shared" si="2"/>
        <v>43514.97</v>
      </c>
    </row>
    <row r="56" spans="1:6" s="3" customFormat="1" ht="13.5" thickBot="1">
      <c r="A56" s="428"/>
      <c r="B56" s="431"/>
      <c r="C56" s="39" t="s">
        <v>2</v>
      </c>
      <c r="D56" s="177">
        <v>426.11</v>
      </c>
      <c r="E56" s="223">
        <v>297.98</v>
      </c>
      <c r="F56" s="86">
        <f t="shared" si="2"/>
        <v>724.09</v>
      </c>
    </row>
    <row r="57" spans="1:6" s="3" customFormat="1" ht="13.5" thickBot="1">
      <c r="A57" s="428"/>
      <c r="B57" s="431"/>
      <c r="C57" s="39" t="s">
        <v>4</v>
      </c>
      <c r="D57" s="173">
        <f>+D55</f>
        <v>25420.4</v>
      </c>
      <c r="E57" s="544">
        <f>+E55</f>
        <v>18094.57</v>
      </c>
      <c r="F57" s="86">
        <f t="shared" si="2"/>
        <v>43514.97</v>
      </c>
    </row>
    <row r="58" spans="1:6" s="3" customFormat="1" ht="13.5" thickBot="1">
      <c r="A58" s="428"/>
      <c r="B58" s="431"/>
      <c r="C58" s="39" t="s">
        <v>3</v>
      </c>
      <c r="D58" s="173">
        <f>+D56</f>
        <v>426.11</v>
      </c>
      <c r="E58" s="544">
        <f>+E56</f>
        <v>297.98</v>
      </c>
      <c r="F58" s="86">
        <f t="shared" si="2"/>
        <v>724.09</v>
      </c>
    </row>
    <row r="59" spans="1:6" s="3" customFormat="1" ht="13.5" thickBot="1">
      <c r="A59" s="428"/>
      <c r="B59" s="432"/>
      <c r="C59" s="40" t="s">
        <v>199</v>
      </c>
      <c r="D59" s="75">
        <f>D54+D55-D56</f>
        <v>5.684341886080801E-13</v>
      </c>
      <c r="E59" s="76">
        <f>E54+E55-E56</f>
        <v>-4.547473508864641E-13</v>
      </c>
      <c r="F59" s="78">
        <f t="shared" si="2"/>
        <v>1.1368683772161603E-13</v>
      </c>
    </row>
    <row r="60" spans="1:6" s="3" customFormat="1" ht="13.5" customHeight="1" hidden="1" thickBot="1">
      <c r="A60" s="434" t="s">
        <v>13</v>
      </c>
      <c r="B60" s="429" t="s">
        <v>10</v>
      </c>
      <c r="C60" s="51" t="s">
        <v>156</v>
      </c>
      <c r="D60" s="90"/>
      <c r="E60" s="107"/>
      <c r="F60" s="90">
        <f t="shared" si="0"/>
        <v>0</v>
      </c>
    </row>
    <row r="61" spans="1:6" s="3" customFormat="1" ht="13.5" customHeight="1" hidden="1" thickBot="1">
      <c r="A61" s="441"/>
      <c r="B61" s="429"/>
      <c r="C61" s="39" t="s">
        <v>1</v>
      </c>
      <c r="D61" s="86"/>
      <c r="E61" s="88"/>
      <c r="F61" s="86">
        <f t="shared" si="0"/>
        <v>0</v>
      </c>
    </row>
    <row r="62" spans="1:6" s="3" customFormat="1" ht="13.5" customHeight="1" hidden="1" thickBot="1">
      <c r="A62" s="441"/>
      <c r="B62" s="429"/>
      <c r="C62" s="39" t="s">
        <v>2</v>
      </c>
      <c r="D62" s="86"/>
      <c r="E62" s="88"/>
      <c r="F62" s="86">
        <f t="shared" si="0"/>
        <v>0</v>
      </c>
    </row>
    <row r="63" spans="1:6" s="3" customFormat="1" ht="13.5" customHeight="1" hidden="1" thickBot="1">
      <c r="A63" s="441"/>
      <c r="B63" s="429"/>
      <c r="C63" s="39" t="s">
        <v>4</v>
      </c>
      <c r="D63" s="112">
        <f>D61</f>
        <v>0</v>
      </c>
      <c r="E63" s="108">
        <f>E61</f>
        <v>0</v>
      </c>
      <c r="F63" s="86">
        <f t="shared" si="0"/>
        <v>0</v>
      </c>
    </row>
    <row r="64" spans="1:6" s="3" customFormat="1" ht="13.5" customHeight="1" hidden="1" thickBot="1">
      <c r="A64" s="441"/>
      <c r="B64" s="429"/>
      <c r="C64" s="39" t="s">
        <v>3</v>
      </c>
      <c r="D64" s="112">
        <f>D61</f>
        <v>0</v>
      </c>
      <c r="E64" s="108">
        <f>E61</f>
        <v>0</v>
      </c>
      <c r="F64" s="86">
        <f t="shared" si="0"/>
        <v>0</v>
      </c>
    </row>
    <row r="65" spans="1:6" s="3" customFormat="1" ht="13.5" customHeight="1" hidden="1" thickBot="1">
      <c r="A65" s="441"/>
      <c r="B65" s="429"/>
      <c r="C65" s="40" t="s">
        <v>160</v>
      </c>
      <c r="D65" s="110">
        <f>D60+D61-D62</f>
        <v>0</v>
      </c>
      <c r="E65" s="109">
        <f>E60+E61-E62</f>
        <v>0</v>
      </c>
      <c r="F65" s="86">
        <f t="shared" si="0"/>
        <v>0</v>
      </c>
    </row>
    <row r="66" spans="1:6" s="3" customFormat="1" ht="13.5" customHeight="1" hidden="1" thickBot="1">
      <c r="A66" s="441"/>
      <c r="B66" s="429" t="s">
        <v>12</v>
      </c>
      <c r="C66" s="51" t="s">
        <v>156</v>
      </c>
      <c r="D66" s="86"/>
      <c r="E66" s="88"/>
      <c r="F66" s="86">
        <f t="shared" si="0"/>
        <v>0</v>
      </c>
    </row>
    <row r="67" spans="1:6" s="3" customFormat="1" ht="13.5" customHeight="1" hidden="1" thickBot="1">
      <c r="A67" s="441"/>
      <c r="B67" s="429"/>
      <c r="C67" s="39" t="s">
        <v>1</v>
      </c>
      <c r="D67" s="86"/>
      <c r="E67" s="88"/>
      <c r="F67" s="86">
        <f t="shared" si="0"/>
        <v>0</v>
      </c>
    </row>
    <row r="68" spans="1:6" s="3" customFormat="1" ht="13.5" customHeight="1" hidden="1" thickBot="1">
      <c r="A68" s="441"/>
      <c r="B68" s="429"/>
      <c r="C68" s="39" t="s">
        <v>2</v>
      </c>
      <c r="D68" s="86"/>
      <c r="E68" s="88"/>
      <c r="F68" s="86">
        <f t="shared" si="0"/>
        <v>0</v>
      </c>
    </row>
    <row r="69" spans="1:6" s="3" customFormat="1" ht="13.5" customHeight="1" hidden="1" thickBot="1">
      <c r="A69" s="441"/>
      <c r="B69" s="429"/>
      <c r="C69" s="39" t="s">
        <v>4</v>
      </c>
      <c r="D69" s="112">
        <f>D67</f>
        <v>0</v>
      </c>
      <c r="E69" s="108">
        <f>E67</f>
        <v>0</v>
      </c>
      <c r="F69" s="86">
        <f t="shared" si="0"/>
        <v>0</v>
      </c>
    </row>
    <row r="70" spans="1:6" s="3" customFormat="1" ht="13.5" customHeight="1" hidden="1" thickBot="1">
      <c r="A70" s="441"/>
      <c r="B70" s="429"/>
      <c r="C70" s="39" t="s">
        <v>3</v>
      </c>
      <c r="D70" s="112">
        <f>D67</f>
        <v>0</v>
      </c>
      <c r="E70" s="108">
        <f>E67</f>
        <v>0</v>
      </c>
      <c r="F70" s="86">
        <f t="shared" si="0"/>
        <v>0</v>
      </c>
    </row>
    <row r="71" spans="1:6" s="3" customFormat="1" ht="13.5" customHeight="1" hidden="1" thickBot="1">
      <c r="A71" s="441"/>
      <c r="B71" s="429"/>
      <c r="C71" s="40" t="s">
        <v>160</v>
      </c>
      <c r="D71" s="110">
        <f>D66+D67-D68</f>
        <v>0</v>
      </c>
      <c r="E71" s="109">
        <f>E66+E67-E68</f>
        <v>0</v>
      </c>
      <c r="F71" s="86">
        <f t="shared" si="0"/>
        <v>0</v>
      </c>
    </row>
    <row r="72" spans="1:6" s="24" customFormat="1" ht="12.75" customHeight="1" thickBot="1">
      <c r="A72" s="441"/>
      <c r="B72" s="429" t="s">
        <v>14</v>
      </c>
      <c r="C72" s="51" t="s">
        <v>175</v>
      </c>
      <c r="D72" s="173">
        <v>9468.01</v>
      </c>
      <c r="E72" s="217">
        <v>24024.9</v>
      </c>
      <c r="F72" s="86">
        <f t="shared" si="0"/>
        <v>33492.91</v>
      </c>
    </row>
    <row r="73" spans="1:6" s="24" customFormat="1" ht="13.5" customHeight="1" thickBot="1">
      <c r="A73" s="441"/>
      <c r="B73" s="429"/>
      <c r="C73" s="39" t="s">
        <v>1</v>
      </c>
      <c r="D73" s="173">
        <v>152827.12</v>
      </c>
      <c r="E73" s="222">
        <v>158372.75</v>
      </c>
      <c r="F73" s="86">
        <f t="shared" si="0"/>
        <v>311199.87</v>
      </c>
    </row>
    <row r="74" spans="1:6" s="24" customFormat="1" ht="13.5" customHeight="1" thickBot="1">
      <c r="A74" s="441"/>
      <c r="B74" s="429"/>
      <c r="C74" s="39" t="s">
        <v>2</v>
      </c>
      <c r="D74" s="173">
        <v>154929.27</v>
      </c>
      <c r="E74" s="217">
        <v>150881.82</v>
      </c>
      <c r="F74" s="86">
        <f t="shared" si="0"/>
        <v>305811.08999999997</v>
      </c>
    </row>
    <row r="75" spans="1:6" s="24" customFormat="1" ht="13.5" customHeight="1" thickBot="1">
      <c r="A75" s="441"/>
      <c r="B75" s="429"/>
      <c r="C75" s="39" t="s">
        <v>4</v>
      </c>
      <c r="D75" s="173">
        <f>+D73</f>
        <v>152827.12</v>
      </c>
      <c r="E75" s="223">
        <f>+E73</f>
        <v>158372.75</v>
      </c>
      <c r="F75" s="86">
        <f t="shared" si="0"/>
        <v>311199.87</v>
      </c>
    </row>
    <row r="76" spans="1:6" s="24" customFormat="1" ht="13.5" customHeight="1" thickBot="1">
      <c r="A76" s="441"/>
      <c r="B76" s="429"/>
      <c r="C76" s="39" t="s">
        <v>3</v>
      </c>
      <c r="D76" s="173">
        <f>+D74</f>
        <v>154929.27</v>
      </c>
      <c r="E76" s="223">
        <f>+E74</f>
        <v>150881.82</v>
      </c>
      <c r="F76" s="86">
        <f t="shared" si="0"/>
        <v>305811.08999999997</v>
      </c>
    </row>
    <row r="77" spans="1:6" s="3" customFormat="1" ht="13.5" customHeight="1" thickBot="1">
      <c r="A77" s="441"/>
      <c r="B77" s="429"/>
      <c r="C77" s="40" t="s">
        <v>199</v>
      </c>
      <c r="D77" s="75">
        <f>D72+D73-D74</f>
        <v>7365.860000000015</v>
      </c>
      <c r="E77" s="76">
        <f>E72+E73-E74</f>
        <v>31515.829999999987</v>
      </c>
      <c r="F77" s="115">
        <f t="shared" si="0"/>
        <v>38881.69</v>
      </c>
    </row>
    <row r="78" spans="1:6" s="24" customFormat="1" ht="13.5" customHeight="1" thickBot="1">
      <c r="A78" s="441"/>
      <c r="B78" s="429" t="s">
        <v>15</v>
      </c>
      <c r="C78" s="51" t="s">
        <v>175</v>
      </c>
      <c r="D78" s="179">
        <f>-589.88+3822.37</f>
        <v>3232.49</v>
      </c>
      <c r="E78" s="224">
        <v>2716.57</v>
      </c>
      <c r="F78" s="106">
        <f t="shared" si="0"/>
        <v>5949.0599999999995</v>
      </c>
    </row>
    <row r="79" spans="1:6" s="24" customFormat="1" ht="13.5" customHeight="1" thickBot="1">
      <c r="A79" s="441"/>
      <c r="B79" s="429"/>
      <c r="C79" s="39" t="s">
        <v>1</v>
      </c>
      <c r="D79" s="177">
        <f>589.88+30662.26</f>
        <v>31252.14</v>
      </c>
      <c r="E79" s="223">
        <v>32965.2</v>
      </c>
      <c r="F79" s="86">
        <f t="shared" si="0"/>
        <v>64217.34</v>
      </c>
    </row>
    <row r="80" spans="1:6" s="24" customFormat="1" ht="13.5" customHeight="1" thickBot="1">
      <c r="A80" s="441"/>
      <c r="B80" s="429"/>
      <c r="C80" s="39" t="s">
        <v>2</v>
      </c>
      <c r="D80" s="177">
        <v>31800.29</v>
      </c>
      <c r="E80" s="223">
        <v>31127.98</v>
      </c>
      <c r="F80" s="86">
        <f t="shared" si="0"/>
        <v>62928.270000000004</v>
      </c>
    </row>
    <row r="81" spans="1:6" s="24" customFormat="1" ht="13.5" customHeight="1" thickBot="1">
      <c r="A81" s="441"/>
      <c r="B81" s="429"/>
      <c r="C81" s="39" t="s">
        <v>4</v>
      </c>
      <c r="D81" s="173">
        <f>+D79</f>
        <v>31252.14</v>
      </c>
      <c r="E81" s="223">
        <f>+E79</f>
        <v>32965.2</v>
      </c>
      <c r="F81" s="86">
        <f t="shared" si="0"/>
        <v>64217.34</v>
      </c>
    </row>
    <row r="82" spans="1:6" s="24" customFormat="1" ht="13.5" customHeight="1" thickBot="1">
      <c r="A82" s="441"/>
      <c r="B82" s="429"/>
      <c r="C82" s="39" t="s">
        <v>3</v>
      </c>
      <c r="D82" s="173">
        <f>+D80</f>
        <v>31800.29</v>
      </c>
      <c r="E82" s="223">
        <f>+E80</f>
        <v>31127.98</v>
      </c>
      <c r="F82" s="86">
        <f t="shared" si="0"/>
        <v>62928.270000000004</v>
      </c>
    </row>
    <row r="83" spans="1:6" s="3" customFormat="1" ht="13.5" customHeight="1" thickBot="1">
      <c r="A83" s="442"/>
      <c r="B83" s="429"/>
      <c r="C83" s="40" t="s">
        <v>199</v>
      </c>
      <c r="D83" s="75">
        <f>D78+D79-D80</f>
        <v>2684.3399999999965</v>
      </c>
      <c r="E83" s="76">
        <f>E78+E79-E80</f>
        <v>4553.789999999997</v>
      </c>
      <c r="F83" s="78">
        <f aca="true" t="shared" si="3" ref="F83:F171">SUM(D83:E83)</f>
        <v>7238.129999999994</v>
      </c>
    </row>
    <row r="84" spans="1:6" s="3" customFormat="1" ht="14.25" customHeight="1" hidden="1" thickBot="1">
      <c r="A84" s="379" t="s">
        <v>17</v>
      </c>
      <c r="B84" s="439" t="s">
        <v>43</v>
      </c>
      <c r="C84" s="51" t="s">
        <v>156</v>
      </c>
      <c r="D84" s="90"/>
      <c r="E84" s="107"/>
      <c r="F84" s="90">
        <f t="shared" si="3"/>
        <v>0</v>
      </c>
    </row>
    <row r="85" spans="1:6" s="3" customFormat="1" ht="13.5" customHeight="1" hidden="1" thickBot="1">
      <c r="A85" s="379"/>
      <c r="B85" s="439"/>
      <c r="C85" s="39" t="s">
        <v>1</v>
      </c>
      <c r="D85" s="86"/>
      <c r="E85" s="88"/>
      <c r="F85" s="86">
        <f t="shared" si="3"/>
        <v>0</v>
      </c>
    </row>
    <row r="86" spans="1:6" s="3" customFormat="1" ht="13.5" customHeight="1" hidden="1" thickBot="1">
      <c r="A86" s="379"/>
      <c r="B86" s="439"/>
      <c r="C86" s="39" t="s">
        <v>2</v>
      </c>
      <c r="D86" s="86"/>
      <c r="E86" s="88"/>
      <c r="F86" s="86">
        <f t="shared" si="3"/>
        <v>0</v>
      </c>
    </row>
    <row r="87" spans="1:6" s="3" customFormat="1" ht="13.5" customHeight="1" hidden="1" thickBot="1">
      <c r="A87" s="379"/>
      <c r="B87" s="439"/>
      <c r="C87" s="39" t="s">
        <v>4</v>
      </c>
      <c r="D87" s="86"/>
      <c r="E87" s="88"/>
      <c r="F87" s="86">
        <f t="shared" si="3"/>
        <v>0</v>
      </c>
    </row>
    <row r="88" spans="1:6" s="3" customFormat="1" ht="13.5" customHeight="1" hidden="1" thickBot="1">
      <c r="A88" s="379"/>
      <c r="B88" s="439"/>
      <c r="C88" s="39" t="s">
        <v>3</v>
      </c>
      <c r="D88" s="110"/>
      <c r="E88" s="109"/>
      <c r="F88" s="86">
        <f t="shared" si="3"/>
        <v>0</v>
      </c>
    </row>
    <row r="89" spans="1:6" s="3" customFormat="1" ht="13.5" customHeight="1" hidden="1" thickBot="1">
      <c r="A89" s="379"/>
      <c r="B89" s="439"/>
      <c r="C89" s="40" t="s">
        <v>160</v>
      </c>
      <c r="D89" s="110">
        <f>D84+D85-D86</f>
        <v>0</v>
      </c>
      <c r="E89" s="109">
        <f>E84+E85-E86</f>
        <v>0</v>
      </c>
      <c r="F89" s="86">
        <f t="shared" si="3"/>
        <v>0</v>
      </c>
    </row>
    <row r="90" spans="1:6" s="3" customFormat="1" ht="13.5" customHeight="1" hidden="1" thickBot="1">
      <c r="A90" s="379"/>
      <c r="B90" s="439" t="s">
        <v>18</v>
      </c>
      <c r="C90" s="51" t="s">
        <v>156</v>
      </c>
      <c r="D90" s="86"/>
      <c r="E90" s="88"/>
      <c r="F90" s="86">
        <f t="shared" si="3"/>
        <v>0</v>
      </c>
    </row>
    <row r="91" spans="1:6" s="3" customFormat="1" ht="13.5" customHeight="1" hidden="1" thickBot="1">
      <c r="A91" s="379"/>
      <c r="B91" s="439"/>
      <c r="C91" s="39" t="s">
        <v>1</v>
      </c>
      <c r="D91" s="86"/>
      <c r="E91" s="88"/>
      <c r="F91" s="86">
        <f t="shared" si="3"/>
        <v>0</v>
      </c>
    </row>
    <row r="92" spans="1:6" s="3" customFormat="1" ht="13.5" customHeight="1" hidden="1" thickBot="1">
      <c r="A92" s="379"/>
      <c r="B92" s="439"/>
      <c r="C92" s="39" t="s">
        <v>2</v>
      </c>
      <c r="D92" s="86"/>
      <c r="E92" s="88"/>
      <c r="F92" s="86">
        <f t="shared" si="3"/>
        <v>0</v>
      </c>
    </row>
    <row r="93" spans="1:6" s="3" customFormat="1" ht="13.5" customHeight="1" hidden="1" thickBot="1">
      <c r="A93" s="379"/>
      <c r="B93" s="439"/>
      <c r="C93" s="39" t="s">
        <v>4</v>
      </c>
      <c r="D93" s="86"/>
      <c r="E93" s="88"/>
      <c r="F93" s="86">
        <f t="shared" si="3"/>
        <v>0</v>
      </c>
    </row>
    <row r="94" spans="1:6" s="3" customFormat="1" ht="13.5" customHeight="1" hidden="1" thickBot="1">
      <c r="A94" s="379"/>
      <c r="B94" s="439"/>
      <c r="C94" s="39" t="s">
        <v>3</v>
      </c>
      <c r="D94" s="110"/>
      <c r="E94" s="109"/>
      <c r="F94" s="86">
        <f t="shared" si="3"/>
        <v>0</v>
      </c>
    </row>
    <row r="95" spans="1:6" s="3" customFormat="1" ht="13.5" customHeight="1" hidden="1" thickBot="1">
      <c r="A95" s="379"/>
      <c r="B95" s="439"/>
      <c r="C95" s="40" t="s">
        <v>160</v>
      </c>
      <c r="D95" s="110">
        <f>D90+D91-D92</f>
        <v>0</v>
      </c>
      <c r="E95" s="109">
        <f>E90+E91-E92</f>
        <v>0</v>
      </c>
      <c r="F95" s="86">
        <f t="shared" si="3"/>
        <v>0</v>
      </c>
    </row>
    <row r="96" spans="1:6" s="3" customFormat="1" ht="13.5" customHeight="1" hidden="1" thickBot="1">
      <c r="A96" s="379"/>
      <c r="B96" s="439" t="s">
        <v>19</v>
      </c>
      <c r="C96" s="51" t="s">
        <v>156</v>
      </c>
      <c r="D96" s="86"/>
      <c r="E96" s="88"/>
      <c r="F96" s="86">
        <f t="shared" si="3"/>
        <v>0</v>
      </c>
    </row>
    <row r="97" spans="1:6" s="3" customFormat="1" ht="13.5" customHeight="1" hidden="1" thickBot="1">
      <c r="A97" s="379"/>
      <c r="B97" s="439"/>
      <c r="C97" s="39" t="s">
        <v>1</v>
      </c>
      <c r="D97" s="86"/>
      <c r="E97" s="88"/>
      <c r="F97" s="86">
        <f t="shared" si="3"/>
        <v>0</v>
      </c>
    </row>
    <row r="98" spans="1:6" s="3" customFormat="1" ht="13.5" customHeight="1" hidden="1" thickBot="1">
      <c r="A98" s="379"/>
      <c r="B98" s="439"/>
      <c r="C98" s="39" t="s">
        <v>2</v>
      </c>
      <c r="D98" s="86"/>
      <c r="E98" s="88"/>
      <c r="F98" s="86">
        <f t="shared" si="3"/>
        <v>0</v>
      </c>
    </row>
    <row r="99" spans="1:6" s="3" customFormat="1" ht="13.5" customHeight="1" hidden="1" thickBot="1">
      <c r="A99" s="379"/>
      <c r="B99" s="439"/>
      <c r="C99" s="39" t="s">
        <v>4</v>
      </c>
      <c r="D99" s="86"/>
      <c r="E99" s="88"/>
      <c r="F99" s="86">
        <f t="shared" si="3"/>
        <v>0</v>
      </c>
    </row>
    <row r="100" spans="1:6" s="3" customFormat="1" ht="13.5" customHeight="1" hidden="1" thickBot="1">
      <c r="A100" s="379"/>
      <c r="B100" s="439"/>
      <c r="C100" s="39" t="s">
        <v>3</v>
      </c>
      <c r="D100" s="110"/>
      <c r="E100" s="109"/>
      <c r="F100" s="86">
        <f t="shared" si="3"/>
        <v>0</v>
      </c>
    </row>
    <row r="101" spans="1:6" s="3" customFormat="1" ht="13.5" customHeight="1" hidden="1" thickBot="1">
      <c r="A101" s="379"/>
      <c r="B101" s="439"/>
      <c r="C101" s="40" t="s">
        <v>160</v>
      </c>
      <c r="D101" s="114">
        <f>D96+D97-D98</f>
        <v>0</v>
      </c>
      <c r="E101" s="113">
        <f>E96+E97-E98</f>
        <v>0</v>
      </c>
      <c r="F101" s="89">
        <f t="shared" si="3"/>
        <v>0</v>
      </c>
    </row>
    <row r="102" spans="1:6" s="24" customFormat="1" ht="13.5" customHeight="1" thickBot="1">
      <c r="A102" s="379"/>
      <c r="B102" s="439" t="s">
        <v>16</v>
      </c>
      <c r="C102" s="51" t="s">
        <v>175</v>
      </c>
      <c r="D102" s="173">
        <v>18572.06</v>
      </c>
      <c r="E102" s="223">
        <v>11612.48</v>
      </c>
      <c r="F102" s="86">
        <f t="shared" si="3"/>
        <v>30184.54</v>
      </c>
    </row>
    <row r="103" spans="1:6" s="24" customFormat="1" ht="13.5" thickBot="1">
      <c r="A103" s="379"/>
      <c r="B103" s="439"/>
      <c r="C103" s="39" t="s">
        <v>1</v>
      </c>
      <c r="D103" s="173">
        <v>138127.5</v>
      </c>
      <c r="E103" s="223">
        <v>114129.16</v>
      </c>
      <c r="F103" s="86">
        <f t="shared" si="3"/>
        <v>252256.66</v>
      </c>
    </row>
    <row r="104" spans="1:6" s="24" customFormat="1" ht="13.5" thickBot="1">
      <c r="A104" s="379"/>
      <c r="B104" s="439"/>
      <c r="C104" s="39" t="s">
        <v>2</v>
      </c>
      <c r="D104" s="173">
        <v>121992.06</v>
      </c>
      <c r="E104" s="223">
        <v>108756.34</v>
      </c>
      <c r="F104" s="86">
        <f t="shared" si="3"/>
        <v>230748.4</v>
      </c>
    </row>
    <row r="105" spans="1:6" s="24" customFormat="1" ht="13.5" thickBot="1">
      <c r="A105" s="379"/>
      <c r="B105" s="439"/>
      <c r="C105" s="39" t="s">
        <v>4</v>
      </c>
      <c r="D105" s="173">
        <f>+D103</f>
        <v>138127.5</v>
      </c>
      <c r="E105" s="223">
        <f>+E103</f>
        <v>114129.16</v>
      </c>
      <c r="F105" s="86">
        <f t="shared" si="3"/>
        <v>252256.66</v>
      </c>
    </row>
    <row r="106" spans="1:6" s="24" customFormat="1" ht="13.5" thickBot="1">
      <c r="A106" s="379"/>
      <c r="B106" s="439"/>
      <c r="C106" s="39" t="s">
        <v>3</v>
      </c>
      <c r="D106" s="173">
        <f>+D104</f>
        <v>121992.06</v>
      </c>
      <c r="E106" s="223">
        <f>+E104</f>
        <v>108756.34</v>
      </c>
      <c r="F106" s="86">
        <f t="shared" si="3"/>
        <v>230748.4</v>
      </c>
    </row>
    <row r="107" spans="1:6" s="3" customFormat="1" ht="13.5" thickBot="1">
      <c r="A107" s="380"/>
      <c r="B107" s="440"/>
      <c r="C107" s="40" t="s">
        <v>199</v>
      </c>
      <c r="D107" s="75">
        <f>D102+D103-D104</f>
        <v>34707.5</v>
      </c>
      <c r="E107" s="76">
        <f>E102+E103-E104</f>
        <v>16985.300000000003</v>
      </c>
      <c r="F107" s="78">
        <f t="shared" si="3"/>
        <v>51692.8</v>
      </c>
    </row>
    <row r="108" spans="1:6" ht="13.5" customHeight="1" thickBot="1">
      <c r="A108" s="398" t="s">
        <v>188</v>
      </c>
      <c r="B108" s="399"/>
      <c r="C108" s="400"/>
      <c r="D108" s="121"/>
      <c r="E108" s="226"/>
      <c r="F108" s="192">
        <f t="shared" si="3"/>
        <v>0</v>
      </c>
    </row>
    <row r="109" spans="1:7" ht="12.75" customHeight="1" thickBot="1">
      <c r="A109" s="427"/>
      <c r="B109" s="427"/>
      <c r="C109" s="52" t="s">
        <v>175</v>
      </c>
      <c r="D109" s="122">
        <f>D6+D12+D18+D36+D42+D48+D54+D72+D78+D102</f>
        <v>447703.96</v>
      </c>
      <c r="E109" s="227">
        <f>E6+E12+E18+E36+E42+E48+E54+E72+E78+E102</f>
        <v>511343.4199999999</v>
      </c>
      <c r="F109" s="122">
        <f>F6+F12+F18+F36+F42+F48+F54+F72+F78+F102</f>
        <v>959047.3800000001</v>
      </c>
      <c r="G109" s="43"/>
    </row>
    <row r="110" spans="1:6" ht="13.5" thickBot="1">
      <c r="A110" s="427"/>
      <c r="B110" s="427"/>
      <c r="C110" s="41" t="s">
        <v>1</v>
      </c>
      <c r="D110" s="122">
        <f aca="true" t="shared" si="4" ref="D110:F114">D7+D13+D19+D37+D43+D49+D55+D73+D79+D103</f>
        <v>3413486.6700000004</v>
      </c>
      <c r="E110" s="227">
        <f t="shared" si="4"/>
        <v>3498407.8100000005</v>
      </c>
      <c r="F110" s="122">
        <f t="shared" si="4"/>
        <v>6911894.48</v>
      </c>
    </row>
    <row r="111" spans="1:6" ht="13.5" thickBot="1">
      <c r="A111" s="427"/>
      <c r="B111" s="427"/>
      <c r="C111" s="41" t="s">
        <v>2</v>
      </c>
      <c r="D111" s="122">
        <f t="shared" si="4"/>
        <v>3411051.9000000004</v>
      </c>
      <c r="E111" s="227">
        <f t="shared" si="4"/>
        <v>3242352.6099999994</v>
      </c>
      <c r="F111" s="122">
        <f t="shared" si="4"/>
        <v>6653404.51</v>
      </c>
    </row>
    <row r="112" spans="1:6" ht="13.5" thickBot="1">
      <c r="A112" s="427"/>
      <c r="B112" s="427"/>
      <c r="C112" s="41" t="s">
        <v>4</v>
      </c>
      <c r="D112" s="122">
        <f t="shared" si="4"/>
        <v>3413486.6700000004</v>
      </c>
      <c r="E112" s="227">
        <f t="shared" si="4"/>
        <v>3498407.8100000005</v>
      </c>
      <c r="F112" s="122">
        <f t="shared" si="4"/>
        <v>6911894.48</v>
      </c>
    </row>
    <row r="113" spans="1:6" ht="13.5" thickBot="1">
      <c r="A113" s="427"/>
      <c r="B113" s="427"/>
      <c r="C113" s="41" t="s">
        <v>3</v>
      </c>
      <c r="D113" s="122">
        <f t="shared" si="4"/>
        <v>3411051.9000000004</v>
      </c>
      <c r="E113" s="227">
        <f t="shared" si="4"/>
        <v>3242352.6099999994</v>
      </c>
      <c r="F113" s="122">
        <f t="shared" si="4"/>
        <v>6653404.51</v>
      </c>
    </row>
    <row r="114" spans="1:6" s="4" customFormat="1" ht="13.5" thickBot="1">
      <c r="A114" s="427"/>
      <c r="B114" s="427"/>
      <c r="C114" s="42" t="s">
        <v>199</v>
      </c>
      <c r="D114" s="170">
        <f t="shared" si="4"/>
        <v>450138.72999999986</v>
      </c>
      <c r="E114" s="228">
        <f t="shared" si="4"/>
        <v>767398.6200000006</v>
      </c>
      <c r="F114" s="170">
        <f t="shared" si="4"/>
        <v>1217537.3500000003</v>
      </c>
    </row>
    <row r="115" spans="1:6" s="4" customFormat="1" ht="13.5" customHeight="1" thickBot="1">
      <c r="A115" s="447" t="s">
        <v>176</v>
      </c>
      <c r="B115" s="432" t="s">
        <v>43</v>
      </c>
      <c r="C115" s="51" t="s">
        <v>175</v>
      </c>
      <c r="D115" s="179">
        <v>74597.54</v>
      </c>
      <c r="E115" s="224">
        <v>51105.64</v>
      </c>
      <c r="F115" s="90">
        <f t="shared" si="3"/>
        <v>125703.18</v>
      </c>
    </row>
    <row r="116" spans="1:6" s="4" customFormat="1" ht="18" customHeight="1" thickBot="1">
      <c r="A116" s="447"/>
      <c r="B116" s="429"/>
      <c r="C116" s="39" t="s">
        <v>1</v>
      </c>
      <c r="D116" s="177">
        <v>501311.88</v>
      </c>
      <c r="E116" s="223">
        <v>505133.95</v>
      </c>
      <c r="F116" s="86">
        <f t="shared" si="3"/>
        <v>1006445.8300000001</v>
      </c>
    </row>
    <row r="117" spans="1:6" s="4" customFormat="1" ht="13.5" thickBot="1">
      <c r="A117" s="447"/>
      <c r="B117" s="429"/>
      <c r="C117" s="39" t="s">
        <v>2</v>
      </c>
      <c r="D117" s="177">
        <v>519219.67</v>
      </c>
      <c r="E117" s="223">
        <v>481229.5</v>
      </c>
      <c r="F117" s="86">
        <f t="shared" si="3"/>
        <v>1000449.1699999999</v>
      </c>
    </row>
    <row r="118" spans="1:6" s="4" customFormat="1" ht="13.5" thickBot="1">
      <c r="A118" s="447"/>
      <c r="B118" s="429"/>
      <c r="C118" s="39" t="s">
        <v>4</v>
      </c>
      <c r="D118" s="219">
        <v>575705.85</v>
      </c>
      <c r="E118" s="229">
        <v>541213.37</v>
      </c>
      <c r="F118" s="208">
        <f t="shared" si="3"/>
        <v>1116919.22</v>
      </c>
    </row>
    <row r="119" spans="1:6" s="4" customFormat="1" ht="13.5" thickBot="1">
      <c r="A119" s="447"/>
      <c r="B119" s="429"/>
      <c r="C119" s="39" t="s">
        <v>3</v>
      </c>
      <c r="D119" s="173">
        <f>+D117</f>
        <v>519219.67</v>
      </c>
      <c r="E119" s="173">
        <f>+E117</f>
        <v>481229.5</v>
      </c>
      <c r="F119" s="86">
        <f t="shared" si="3"/>
        <v>1000449.1699999999</v>
      </c>
    </row>
    <row r="120" spans="1:6" s="3" customFormat="1" ht="13.5" thickBot="1">
      <c r="A120" s="447"/>
      <c r="B120" s="429"/>
      <c r="C120" s="40" t="s">
        <v>199</v>
      </c>
      <c r="D120" s="75">
        <f>D115+D116-D117</f>
        <v>56689.75000000006</v>
      </c>
      <c r="E120" s="77">
        <f>E115+E116-E117</f>
        <v>75010.08999999997</v>
      </c>
      <c r="F120" s="115">
        <f t="shared" si="3"/>
        <v>131699.84000000003</v>
      </c>
    </row>
    <row r="121" spans="1:6" s="4" customFormat="1" ht="13.5" thickBot="1">
      <c r="A121" s="447"/>
      <c r="B121" s="429" t="s">
        <v>18</v>
      </c>
      <c r="C121" s="51" t="s">
        <v>175</v>
      </c>
      <c r="D121" s="179">
        <v>14521.77</v>
      </c>
      <c r="E121" s="222">
        <v>10573.78</v>
      </c>
      <c r="F121" s="106">
        <f t="shared" si="3"/>
        <v>25095.550000000003</v>
      </c>
    </row>
    <row r="122" spans="1:6" s="4" customFormat="1" ht="13.5" thickBot="1">
      <c r="A122" s="447"/>
      <c r="B122" s="429"/>
      <c r="C122" s="39" t="s">
        <v>1</v>
      </c>
      <c r="D122" s="177">
        <v>101966.82</v>
      </c>
      <c r="E122" s="217">
        <v>104240.65</v>
      </c>
      <c r="F122" s="86">
        <f t="shared" si="3"/>
        <v>206207.47</v>
      </c>
    </row>
    <row r="123" spans="1:6" s="4" customFormat="1" ht="13.5" thickBot="1">
      <c r="A123" s="447"/>
      <c r="B123" s="429"/>
      <c r="C123" s="39" t="s">
        <v>2</v>
      </c>
      <c r="D123" s="177">
        <v>105933.13</v>
      </c>
      <c r="E123" s="217">
        <v>99329.7</v>
      </c>
      <c r="F123" s="86">
        <f t="shared" si="3"/>
        <v>205262.83000000002</v>
      </c>
    </row>
    <row r="124" spans="1:6" s="4" customFormat="1" ht="13.5" thickBot="1">
      <c r="A124" s="447"/>
      <c r="B124" s="429"/>
      <c r="C124" s="39" t="s">
        <v>4</v>
      </c>
      <c r="D124" s="173">
        <f>+D122</f>
        <v>101966.82</v>
      </c>
      <c r="E124" s="223">
        <f>+E122</f>
        <v>104240.65</v>
      </c>
      <c r="F124" s="86">
        <f t="shared" si="3"/>
        <v>206207.47</v>
      </c>
    </row>
    <row r="125" spans="1:6" s="4" customFormat="1" ht="13.5" thickBot="1">
      <c r="A125" s="447"/>
      <c r="B125" s="429"/>
      <c r="C125" s="39" t="s">
        <v>3</v>
      </c>
      <c r="D125" s="173">
        <f>+D123</f>
        <v>105933.13</v>
      </c>
      <c r="E125" s="223">
        <f>+E123</f>
        <v>99329.7</v>
      </c>
      <c r="F125" s="86">
        <f t="shared" si="3"/>
        <v>205262.83000000002</v>
      </c>
    </row>
    <row r="126" spans="1:6" s="3" customFormat="1" ht="13.5" thickBot="1">
      <c r="A126" s="447"/>
      <c r="B126" s="429"/>
      <c r="C126" s="40" t="s">
        <v>199</v>
      </c>
      <c r="D126" s="75">
        <f>D121+D122-D123</f>
        <v>10555.460000000006</v>
      </c>
      <c r="E126" s="76">
        <f>E121+E122-E123</f>
        <v>15484.729999999996</v>
      </c>
      <c r="F126" s="78">
        <f t="shared" si="3"/>
        <v>26040.190000000002</v>
      </c>
    </row>
    <row r="127" spans="1:6" s="4" customFormat="1" ht="13.5" customHeight="1">
      <c r="A127" s="447"/>
      <c r="B127" s="430" t="s">
        <v>19</v>
      </c>
      <c r="C127" s="51" t="s">
        <v>175</v>
      </c>
      <c r="D127" s="234">
        <v>17838.81</v>
      </c>
      <c r="E127" s="230">
        <v>12307.58</v>
      </c>
      <c r="F127" s="90">
        <f t="shared" si="3"/>
        <v>30146.39</v>
      </c>
    </row>
    <row r="128" spans="1:6" s="4" customFormat="1" ht="12.75">
      <c r="A128" s="447"/>
      <c r="B128" s="431"/>
      <c r="C128" s="39" t="s">
        <v>1</v>
      </c>
      <c r="D128" s="234">
        <v>119807.46</v>
      </c>
      <c r="E128" s="230">
        <v>120721.39</v>
      </c>
      <c r="F128" s="86">
        <f t="shared" si="3"/>
        <v>240528.85</v>
      </c>
    </row>
    <row r="129" spans="1:8" s="4" customFormat="1" ht="12.75">
      <c r="A129" s="447"/>
      <c r="B129" s="431"/>
      <c r="C129" s="39" t="s">
        <v>2</v>
      </c>
      <c r="D129" s="234">
        <v>124126.35</v>
      </c>
      <c r="E129" s="230">
        <v>115044.39</v>
      </c>
      <c r="F129" s="86">
        <f t="shared" si="3"/>
        <v>239170.74</v>
      </c>
      <c r="H129" s="54"/>
    </row>
    <row r="130" spans="1:6" s="4" customFormat="1" ht="12.75" customHeight="1">
      <c r="A130" s="447"/>
      <c r="B130" s="431"/>
      <c r="C130" s="39" t="s">
        <v>4</v>
      </c>
      <c r="D130" s="173">
        <f>+D128</f>
        <v>119807.46</v>
      </c>
      <c r="E130" s="223">
        <f>+E128</f>
        <v>120721.39</v>
      </c>
      <c r="F130" s="86">
        <f t="shared" si="3"/>
        <v>240528.85</v>
      </c>
    </row>
    <row r="131" spans="1:6" s="4" customFormat="1" ht="12.75" customHeight="1">
      <c r="A131" s="447"/>
      <c r="B131" s="431"/>
      <c r="C131" s="39" t="s">
        <v>3</v>
      </c>
      <c r="D131" s="173">
        <f>+D129</f>
        <v>124126.35</v>
      </c>
      <c r="E131" s="223">
        <f>+E129</f>
        <v>115044.39</v>
      </c>
      <c r="F131" s="86">
        <f t="shared" si="3"/>
        <v>239170.74</v>
      </c>
    </row>
    <row r="132" spans="1:6" s="4" customFormat="1" ht="13.5" customHeight="1" thickBot="1">
      <c r="A132" s="447"/>
      <c r="B132" s="432"/>
      <c r="C132" s="40" t="s">
        <v>199</v>
      </c>
      <c r="D132" s="75">
        <f>D127+D128-D129</f>
        <v>13519.920000000013</v>
      </c>
      <c r="E132" s="76">
        <f>E127+E128-E129</f>
        <v>17984.58</v>
      </c>
      <c r="F132" s="78">
        <f t="shared" si="3"/>
        <v>31504.500000000015</v>
      </c>
    </row>
    <row r="133" spans="1:6" s="4" customFormat="1" ht="13.5" customHeight="1" hidden="1" thickBot="1">
      <c r="A133" s="447"/>
      <c r="B133" s="55"/>
      <c r="C133" s="53"/>
      <c r="D133" s="235"/>
      <c r="E133" s="181"/>
      <c r="F133" s="90"/>
    </row>
    <row r="134" spans="1:10" s="4" customFormat="1" ht="13.5" customHeight="1" hidden="1" thickBot="1">
      <c r="A134" s="447"/>
      <c r="B134" s="55"/>
      <c r="C134" s="53"/>
      <c r="D134" s="236"/>
      <c r="E134" s="158"/>
      <c r="F134" s="86"/>
      <c r="J134" s="54"/>
    </row>
    <row r="135" spans="1:6" s="4" customFormat="1" ht="13.5" customHeight="1" hidden="1" thickBot="1">
      <c r="A135" s="447"/>
      <c r="B135" s="55"/>
      <c r="C135" s="53"/>
      <c r="D135" s="236"/>
      <c r="E135" s="158"/>
      <c r="F135" s="86"/>
    </row>
    <row r="136" spans="1:6" s="4" customFormat="1" ht="13.5" customHeight="1" hidden="1" thickBot="1">
      <c r="A136" s="447"/>
      <c r="B136" s="55"/>
      <c r="C136" s="53"/>
      <c r="D136" s="236"/>
      <c r="E136" s="158"/>
      <c r="F136" s="86"/>
    </row>
    <row r="137" spans="1:6" s="4" customFormat="1" ht="13.5" customHeight="1" hidden="1" thickBot="1">
      <c r="A137" s="447"/>
      <c r="B137" s="55"/>
      <c r="C137" s="53"/>
      <c r="D137" s="236"/>
      <c r="E137" s="158"/>
      <c r="F137" s="86"/>
    </row>
    <row r="138" spans="1:6" s="4" customFormat="1" ht="13.5" customHeight="1" hidden="1" thickBot="1">
      <c r="A138" s="447"/>
      <c r="B138" s="55"/>
      <c r="C138" s="53"/>
      <c r="D138" s="236"/>
      <c r="E138" s="158"/>
      <c r="F138" s="86"/>
    </row>
    <row r="139" spans="1:6" s="4" customFormat="1" ht="13.5" customHeight="1" hidden="1" thickBot="1">
      <c r="A139" s="448"/>
      <c r="B139" s="55"/>
      <c r="C139" s="53"/>
      <c r="D139" s="236"/>
      <c r="E139" s="158"/>
      <c r="F139" s="89"/>
    </row>
    <row r="140" spans="1:6" s="4" customFormat="1" ht="13.5" customHeight="1">
      <c r="A140" s="449" t="s">
        <v>142</v>
      </c>
      <c r="B140" s="430" t="s">
        <v>166</v>
      </c>
      <c r="C140" s="51" t="s">
        <v>175</v>
      </c>
      <c r="D140" s="173">
        <f>-555.2+996.62</f>
        <v>441.41999999999996</v>
      </c>
      <c r="E140" s="223">
        <f>-44.19+705.28</f>
        <v>661.0899999999999</v>
      </c>
      <c r="F140" s="86">
        <f t="shared" si="3"/>
        <v>1102.5099999999998</v>
      </c>
    </row>
    <row r="141" spans="1:6" s="4" customFormat="1" ht="12.75">
      <c r="A141" s="447"/>
      <c r="B141" s="431"/>
      <c r="C141" s="39" t="s">
        <v>1</v>
      </c>
      <c r="D141" s="173">
        <f>573.92+6542.88</f>
        <v>7116.8</v>
      </c>
      <c r="E141" s="223">
        <f>44.2+6591.8</f>
        <v>6636</v>
      </c>
      <c r="F141" s="86">
        <f t="shared" si="3"/>
        <v>13752.8</v>
      </c>
    </row>
    <row r="142" spans="1:6" s="4" customFormat="1" ht="12.75">
      <c r="A142" s="447"/>
      <c r="B142" s="431"/>
      <c r="C142" s="39" t="s">
        <v>2</v>
      </c>
      <c r="D142" s="173">
        <f>18.72+6792.42</f>
        <v>6811.14</v>
      </c>
      <c r="E142" s="223">
        <f>0.01+6287.11</f>
        <v>6287.12</v>
      </c>
      <c r="F142" s="86">
        <f t="shared" si="3"/>
        <v>13098.26</v>
      </c>
    </row>
    <row r="143" spans="1:6" s="4" customFormat="1" ht="12.75">
      <c r="A143" s="447"/>
      <c r="B143" s="431"/>
      <c r="C143" s="39" t="s">
        <v>4</v>
      </c>
      <c r="D143" s="173">
        <f>+D141</f>
        <v>7116.8</v>
      </c>
      <c r="E143" s="223">
        <f>+E141</f>
        <v>6636</v>
      </c>
      <c r="F143" s="86">
        <f t="shared" si="3"/>
        <v>13752.8</v>
      </c>
    </row>
    <row r="144" spans="1:6" s="4" customFormat="1" ht="12.75">
      <c r="A144" s="447"/>
      <c r="B144" s="431"/>
      <c r="C144" s="39" t="s">
        <v>3</v>
      </c>
      <c r="D144" s="173">
        <f>+D142</f>
        <v>6811.14</v>
      </c>
      <c r="E144" s="223">
        <f>+E142</f>
        <v>6287.12</v>
      </c>
      <c r="F144" s="86">
        <f t="shared" si="3"/>
        <v>13098.26</v>
      </c>
    </row>
    <row r="145" spans="1:6" s="4" customFormat="1" ht="15" customHeight="1" thickBot="1">
      <c r="A145" s="447"/>
      <c r="B145" s="432"/>
      <c r="C145" s="40" t="s">
        <v>199</v>
      </c>
      <c r="D145" s="75">
        <f>D140+D141-D142</f>
        <v>747.0799999999999</v>
      </c>
      <c r="E145" s="76">
        <f>E140+E141-E142</f>
        <v>1009.9700000000003</v>
      </c>
      <c r="F145" s="78">
        <f t="shared" si="3"/>
        <v>1757.0500000000002</v>
      </c>
    </row>
    <row r="146" spans="1:6" s="4" customFormat="1" ht="13.5" customHeight="1">
      <c r="A146" s="447"/>
      <c r="B146" s="430" t="s">
        <v>145</v>
      </c>
      <c r="C146" s="51" t="s">
        <v>175</v>
      </c>
      <c r="D146" s="237">
        <v>2914.07</v>
      </c>
      <c r="E146" s="231">
        <v>2062.43</v>
      </c>
      <c r="F146" s="90">
        <f t="shared" si="3"/>
        <v>4976.5</v>
      </c>
    </row>
    <row r="147" spans="1:6" s="4" customFormat="1" ht="12.75">
      <c r="A147" s="447"/>
      <c r="B147" s="431"/>
      <c r="C147" s="39" t="s">
        <v>1</v>
      </c>
      <c r="D147" s="177">
        <v>18644.62</v>
      </c>
      <c r="E147" s="223">
        <v>19320.75</v>
      </c>
      <c r="F147" s="86">
        <f t="shared" si="3"/>
        <v>37965.369999999995</v>
      </c>
    </row>
    <row r="148" spans="1:6" s="4" customFormat="1" ht="12.75">
      <c r="A148" s="447"/>
      <c r="B148" s="431"/>
      <c r="C148" s="39" t="s">
        <v>2</v>
      </c>
      <c r="D148" s="177">
        <v>19887.79</v>
      </c>
      <c r="E148" s="223">
        <v>18416.93</v>
      </c>
      <c r="F148" s="86">
        <f t="shared" si="3"/>
        <v>38304.72</v>
      </c>
    </row>
    <row r="149" spans="1:6" s="4" customFormat="1" ht="12.75">
      <c r="A149" s="447"/>
      <c r="B149" s="431"/>
      <c r="C149" s="39" t="s">
        <v>4</v>
      </c>
      <c r="D149" s="173">
        <f>+D147</f>
        <v>18644.62</v>
      </c>
      <c r="E149" s="223">
        <f>+E147</f>
        <v>19320.75</v>
      </c>
      <c r="F149" s="86">
        <f t="shared" si="3"/>
        <v>37965.369999999995</v>
      </c>
    </row>
    <row r="150" spans="1:6" s="4" customFormat="1" ht="12.75">
      <c r="A150" s="447"/>
      <c r="B150" s="431"/>
      <c r="C150" s="39" t="s">
        <v>3</v>
      </c>
      <c r="D150" s="173">
        <f>D148</f>
        <v>19887.79</v>
      </c>
      <c r="E150" s="173">
        <f>E148</f>
        <v>18416.93</v>
      </c>
      <c r="F150" s="86">
        <f t="shared" si="3"/>
        <v>38304.72</v>
      </c>
    </row>
    <row r="151" spans="1:6" s="4" customFormat="1" ht="13.5" thickBot="1">
      <c r="A151" s="447"/>
      <c r="B151" s="432"/>
      <c r="C151" s="40" t="s">
        <v>199</v>
      </c>
      <c r="D151" s="75">
        <f>D146+D147-D148</f>
        <v>1670.8999999999978</v>
      </c>
      <c r="E151" s="76">
        <f>E146+E147-E148</f>
        <v>2966.25</v>
      </c>
      <c r="F151" s="78">
        <f t="shared" si="3"/>
        <v>4637.149999999998</v>
      </c>
    </row>
    <row r="152" spans="1:6" s="4" customFormat="1" ht="12.75">
      <c r="A152" s="447"/>
      <c r="B152" s="430" t="s">
        <v>150</v>
      </c>
      <c r="C152" s="51" t="s">
        <v>175</v>
      </c>
      <c r="D152" s="237">
        <v>996.62</v>
      </c>
      <c r="E152" s="231">
        <v>705.28</v>
      </c>
      <c r="F152" s="90">
        <f t="shared" si="3"/>
        <v>1701.9</v>
      </c>
    </row>
    <row r="153" spans="1:6" s="4" customFormat="1" ht="12.75">
      <c r="A153" s="447"/>
      <c r="B153" s="431"/>
      <c r="C153" s="39" t="s">
        <v>1</v>
      </c>
      <c r="D153" s="177">
        <v>6542.88</v>
      </c>
      <c r="E153" s="223">
        <v>6591.8</v>
      </c>
      <c r="F153" s="86">
        <f t="shared" si="3"/>
        <v>13134.68</v>
      </c>
    </row>
    <row r="154" spans="1:6" s="4" customFormat="1" ht="12.75">
      <c r="A154" s="447"/>
      <c r="B154" s="431"/>
      <c r="C154" s="39" t="s">
        <v>2</v>
      </c>
      <c r="D154" s="177">
        <v>6792.42</v>
      </c>
      <c r="E154" s="223">
        <v>6287.16</v>
      </c>
      <c r="F154" s="86">
        <f t="shared" si="3"/>
        <v>13079.58</v>
      </c>
    </row>
    <row r="155" spans="1:6" s="4" customFormat="1" ht="12.75">
      <c r="A155" s="447"/>
      <c r="B155" s="431"/>
      <c r="C155" s="39" t="s">
        <v>4</v>
      </c>
      <c r="D155" s="173">
        <f>+D153</f>
        <v>6542.88</v>
      </c>
      <c r="E155" s="223">
        <f>+E153</f>
        <v>6591.8</v>
      </c>
      <c r="F155" s="86">
        <f t="shared" si="3"/>
        <v>13134.68</v>
      </c>
    </row>
    <row r="156" spans="1:6" s="4" customFormat="1" ht="12.75">
      <c r="A156" s="447"/>
      <c r="B156" s="431"/>
      <c r="C156" s="39" t="s">
        <v>3</v>
      </c>
      <c r="D156" s="173">
        <f>+D154</f>
        <v>6792.42</v>
      </c>
      <c r="E156" s="223">
        <f>+E154</f>
        <v>6287.16</v>
      </c>
      <c r="F156" s="86">
        <f t="shared" si="3"/>
        <v>13079.58</v>
      </c>
    </row>
    <row r="157" spans="1:6" s="3" customFormat="1" ht="13.5" thickBot="1">
      <c r="A157" s="447"/>
      <c r="B157" s="432"/>
      <c r="C157" s="40" t="s">
        <v>199</v>
      </c>
      <c r="D157" s="75">
        <f>D152+D153-D154</f>
        <v>747.0799999999999</v>
      </c>
      <c r="E157" s="76">
        <f>E152+E153-E154</f>
        <v>1009.9200000000001</v>
      </c>
      <c r="F157" s="78">
        <f t="shared" si="3"/>
        <v>1757</v>
      </c>
    </row>
    <row r="158" spans="1:6" s="4" customFormat="1" ht="13.5" customHeight="1" hidden="1">
      <c r="A158" s="56"/>
      <c r="B158" s="430" t="s">
        <v>115</v>
      </c>
      <c r="C158" s="38" t="s">
        <v>101</v>
      </c>
      <c r="D158" s="162"/>
      <c r="E158" s="119"/>
      <c r="F158" s="86">
        <f t="shared" si="3"/>
        <v>0</v>
      </c>
    </row>
    <row r="159" spans="1:6" s="4" customFormat="1" ht="13.5" customHeight="1" hidden="1" thickBot="1">
      <c r="A159" s="56"/>
      <c r="B159" s="431"/>
      <c r="C159" s="39" t="s">
        <v>1</v>
      </c>
      <c r="D159" s="120"/>
      <c r="E159" s="118"/>
      <c r="F159" s="86">
        <f t="shared" si="3"/>
        <v>0</v>
      </c>
    </row>
    <row r="160" spans="1:6" s="4" customFormat="1" ht="13.5" customHeight="1" hidden="1" thickBot="1">
      <c r="A160" s="56"/>
      <c r="B160" s="431"/>
      <c r="C160" s="39" t="s">
        <v>2</v>
      </c>
      <c r="D160" s="120"/>
      <c r="E160" s="118"/>
      <c r="F160" s="86">
        <f t="shared" si="3"/>
        <v>0</v>
      </c>
    </row>
    <row r="161" spans="1:6" s="4" customFormat="1" ht="13.5" customHeight="1" hidden="1" thickBot="1">
      <c r="A161" s="56"/>
      <c r="B161" s="431"/>
      <c r="C161" s="39" t="s">
        <v>4</v>
      </c>
      <c r="D161" s="157"/>
      <c r="E161" s="156"/>
      <c r="F161" s="86">
        <f t="shared" si="3"/>
        <v>0</v>
      </c>
    </row>
    <row r="162" spans="1:6" s="4" customFormat="1" ht="13.5" customHeight="1" hidden="1" thickBot="1">
      <c r="A162" s="56"/>
      <c r="B162" s="431"/>
      <c r="C162" s="39" t="s">
        <v>3</v>
      </c>
      <c r="D162" s="157"/>
      <c r="E162" s="156"/>
      <c r="F162" s="86">
        <f t="shared" si="3"/>
        <v>0</v>
      </c>
    </row>
    <row r="163" spans="1:6" s="3" customFormat="1" ht="13.5" customHeight="1" hidden="1" thickBot="1">
      <c r="A163" s="57"/>
      <c r="B163" s="432"/>
      <c r="C163" s="40" t="s">
        <v>112</v>
      </c>
      <c r="D163" s="110">
        <f>D158+D159-D160</f>
        <v>0</v>
      </c>
      <c r="E163" s="109">
        <f>E158+E159-E160</f>
        <v>0</v>
      </c>
      <c r="F163" s="86">
        <f t="shared" si="3"/>
        <v>0</v>
      </c>
    </row>
    <row r="164" spans="1:6" s="4" customFormat="1" ht="13.5" customHeight="1" hidden="1">
      <c r="A164" s="434" t="s">
        <v>100</v>
      </c>
      <c r="B164" s="429" t="s">
        <v>43</v>
      </c>
      <c r="C164" s="38" t="s">
        <v>101</v>
      </c>
      <c r="D164" s="120">
        <v>228168.85</v>
      </c>
      <c r="E164" s="118">
        <v>228168.85</v>
      </c>
      <c r="F164" s="86">
        <f t="shared" si="3"/>
        <v>456337.7</v>
      </c>
    </row>
    <row r="165" spans="1:6" s="4" customFormat="1" ht="13.5" customHeight="1" hidden="1" thickBot="1">
      <c r="A165" s="433"/>
      <c r="B165" s="429"/>
      <c r="C165" s="39" t="s">
        <v>1</v>
      </c>
      <c r="D165" s="120">
        <v>220708.35</v>
      </c>
      <c r="E165" s="118">
        <v>220708.35</v>
      </c>
      <c r="F165" s="86">
        <f t="shared" si="3"/>
        <v>441416.7</v>
      </c>
    </row>
    <row r="166" spans="1:6" s="4" customFormat="1" ht="13.5" customHeight="1" hidden="1" thickBot="1">
      <c r="A166" s="433"/>
      <c r="B166" s="429"/>
      <c r="C166" s="39" t="s">
        <v>2</v>
      </c>
      <c r="D166" s="120">
        <v>79102.4</v>
      </c>
      <c r="E166" s="118">
        <v>79102.4</v>
      </c>
      <c r="F166" s="86">
        <f t="shared" si="3"/>
        <v>158204.8</v>
      </c>
    </row>
    <row r="167" spans="1:6" s="4" customFormat="1" ht="13.5" customHeight="1" hidden="1" thickBot="1">
      <c r="A167" s="433"/>
      <c r="B167" s="429"/>
      <c r="C167" s="39" t="s">
        <v>4</v>
      </c>
      <c r="D167" s="182">
        <v>19684.69</v>
      </c>
      <c r="E167" s="183">
        <v>19684.69</v>
      </c>
      <c r="F167" s="86">
        <f t="shared" si="3"/>
        <v>39369.38</v>
      </c>
    </row>
    <row r="168" spans="1:6" s="4" customFormat="1" ht="13.5" customHeight="1" hidden="1" thickBot="1">
      <c r="A168" s="433"/>
      <c r="B168" s="429"/>
      <c r="C168" s="39" t="s">
        <v>3</v>
      </c>
      <c r="D168" s="161">
        <f>D167</f>
        <v>19684.69</v>
      </c>
      <c r="E168" s="160">
        <f>E167</f>
        <v>19684.69</v>
      </c>
      <c r="F168" s="86">
        <f t="shared" si="3"/>
        <v>39369.38</v>
      </c>
    </row>
    <row r="169" spans="1:6" s="3" customFormat="1" ht="13.5" customHeight="1" hidden="1" thickBot="1">
      <c r="A169" s="433"/>
      <c r="B169" s="429"/>
      <c r="C169" s="40" t="s">
        <v>112</v>
      </c>
      <c r="D169" s="110">
        <f>D164+D165-D166</f>
        <v>369774.80000000005</v>
      </c>
      <c r="E169" s="109">
        <f>E164+E165-E166</f>
        <v>369774.80000000005</v>
      </c>
      <c r="F169" s="86">
        <f t="shared" si="3"/>
        <v>739549.6000000001</v>
      </c>
    </row>
    <row r="170" spans="1:6" s="4" customFormat="1" ht="13.5" customHeight="1" hidden="1" thickBot="1">
      <c r="A170" s="433"/>
      <c r="B170" s="429" t="s">
        <v>18</v>
      </c>
      <c r="C170" s="38" t="s">
        <v>101</v>
      </c>
      <c r="D170" s="120">
        <v>56057.65</v>
      </c>
      <c r="E170" s="118">
        <v>56057.65</v>
      </c>
      <c r="F170" s="86">
        <f t="shared" si="3"/>
        <v>112115.3</v>
      </c>
    </row>
    <row r="171" spans="1:6" s="4" customFormat="1" ht="13.5" customHeight="1" hidden="1" thickBot="1">
      <c r="A171" s="433"/>
      <c r="B171" s="429"/>
      <c r="C171" s="39" t="s">
        <v>1</v>
      </c>
      <c r="D171" s="120">
        <v>47627.65</v>
      </c>
      <c r="E171" s="118">
        <v>47627.65</v>
      </c>
      <c r="F171" s="86">
        <f t="shared" si="3"/>
        <v>95255.3</v>
      </c>
    </row>
    <row r="172" spans="1:6" s="4" customFormat="1" ht="13.5" customHeight="1" hidden="1" thickBot="1">
      <c r="A172" s="433"/>
      <c r="B172" s="429"/>
      <c r="C172" s="39" t="s">
        <v>2</v>
      </c>
      <c r="D172" s="120">
        <v>19321.57</v>
      </c>
      <c r="E172" s="118">
        <v>19321.57</v>
      </c>
      <c r="F172" s="86">
        <f aca="true" t="shared" si="5" ref="F172:F241">SUM(D172:E172)</f>
        <v>38643.14</v>
      </c>
    </row>
    <row r="173" spans="1:6" s="4" customFormat="1" ht="13.5" customHeight="1" hidden="1" thickBot="1">
      <c r="A173" s="433"/>
      <c r="B173" s="429"/>
      <c r="C173" s="39" t="s">
        <v>4</v>
      </c>
      <c r="D173" s="157">
        <f>D171</f>
        <v>47627.65</v>
      </c>
      <c r="E173" s="156">
        <f>E171</f>
        <v>47627.65</v>
      </c>
      <c r="F173" s="86">
        <f t="shared" si="5"/>
        <v>95255.3</v>
      </c>
    </row>
    <row r="174" spans="1:6" s="4" customFormat="1" ht="13.5" customHeight="1" hidden="1" thickBot="1">
      <c r="A174" s="433"/>
      <c r="B174" s="429"/>
      <c r="C174" s="39" t="s">
        <v>3</v>
      </c>
      <c r="D174" s="157">
        <f>D173</f>
        <v>47627.65</v>
      </c>
      <c r="E174" s="156">
        <f>E173</f>
        <v>47627.65</v>
      </c>
      <c r="F174" s="86">
        <f t="shared" si="5"/>
        <v>95255.3</v>
      </c>
    </row>
    <row r="175" spans="1:6" s="3" customFormat="1" ht="13.5" customHeight="1" hidden="1" thickBot="1">
      <c r="A175" s="433"/>
      <c r="B175" s="429"/>
      <c r="C175" s="40" t="s">
        <v>112</v>
      </c>
      <c r="D175" s="110">
        <f>D170+D171-D172</f>
        <v>84363.73000000001</v>
      </c>
      <c r="E175" s="109">
        <f>E170+E171-E172</f>
        <v>84363.73000000001</v>
      </c>
      <c r="F175" s="86">
        <f t="shared" si="5"/>
        <v>168727.46000000002</v>
      </c>
    </row>
    <row r="176" spans="1:6" s="4" customFormat="1" ht="13.5" customHeight="1" hidden="1" thickBot="1">
      <c r="A176" s="433"/>
      <c r="B176" s="429" t="s">
        <v>19</v>
      </c>
      <c r="C176" s="38" t="s">
        <v>101</v>
      </c>
      <c r="D176" s="120">
        <v>65950.92</v>
      </c>
      <c r="E176" s="118">
        <v>65950.92</v>
      </c>
      <c r="F176" s="86">
        <f t="shared" si="5"/>
        <v>131901.84</v>
      </c>
    </row>
    <row r="177" spans="1:6" s="4" customFormat="1" ht="13.5" customHeight="1" hidden="1" thickBot="1">
      <c r="A177" s="433"/>
      <c r="B177" s="429"/>
      <c r="C177" s="39" t="s">
        <v>1</v>
      </c>
      <c r="D177" s="120">
        <v>56033.1</v>
      </c>
      <c r="E177" s="118">
        <v>56033.1</v>
      </c>
      <c r="F177" s="86">
        <f t="shared" si="5"/>
        <v>112066.2</v>
      </c>
    </row>
    <row r="178" spans="1:6" s="4" customFormat="1" ht="13.5" customHeight="1" hidden="1" thickBot="1">
      <c r="A178" s="433"/>
      <c r="B178" s="429"/>
      <c r="C178" s="39" t="s">
        <v>2</v>
      </c>
      <c r="D178" s="120">
        <v>22731.59</v>
      </c>
      <c r="E178" s="118">
        <v>22731.59</v>
      </c>
      <c r="F178" s="86">
        <f t="shared" si="5"/>
        <v>45463.18</v>
      </c>
    </row>
    <row r="179" spans="1:6" s="4" customFormat="1" ht="15" customHeight="1" hidden="1">
      <c r="A179" s="433"/>
      <c r="B179" s="429"/>
      <c r="C179" s="39" t="s">
        <v>4</v>
      </c>
      <c r="D179" s="157">
        <f>D177</f>
        <v>56033.1</v>
      </c>
      <c r="E179" s="156">
        <f>E177</f>
        <v>56033.1</v>
      </c>
      <c r="F179" s="86">
        <f t="shared" si="5"/>
        <v>112066.2</v>
      </c>
    </row>
    <row r="180" spans="1:6" s="4" customFormat="1" ht="13.5" customHeight="1" hidden="1" thickBot="1">
      <c r="A180" s="433"/>
      <c r="B180" s="429"/>
      <c r="C180" s="39" t="s">
        <v>3</v>
      </c>
      <c r="D180" s="157">
        <f>D179</f>
        <v>56033.1</v>
      </c>
      <c r="E180" s="156">
        <f>E179</f>
        <v>56033.1</v>
      </c>
      <c r="F180" s="86">
        <f t="shared" si="5"/>
        <v>112066.2</v>
      </c>
    </row>
    <row r="181" spans="1:6" s="3" customFormat="1" ht="13.5" customHeight="1" hidden="1" thickBot="1">
      <c r="A181" s="433"/>
      <c r="B181" s="429"/>
      <c r="C181" s="40" t="s">
        <v>112</v>
      </c>
      <c r="D181" s="110">
        <f>D176+D177-D178</f>
        <v>99252.43</v>
      </c>
      <c r="E181" s="109">
        <f>E176+E177-E178</f>
        <v>99252.43</v>
      </c>
      <c r="F181" s="86">
        <f t="shared" si="5"/>
        <v>198504.86</v>
      </c>
    </row>
    <row r="182" spans="1:6" s="24" customFormat="1" ht="12.75" customHeight="1" hidden="1">
      <c r="A182" s="433"/>
      <c r="B182" s="429" t="s">
        <v>40</v>
      </c>
      <c r="C182" s="31" t="s">
        <v>99</v>
      </c>
      <c r="D182" s="112"/>
      <c r="E182" s="108"/>
      <c r="F182" s="86">
        <f t="shared" si="5"/>
        <v>0</v>
      </c>
    </row>
    <row r="183" spans="1:6" s="24" customFormat="1" ht="13.5" customHeight="1" hidden="1">
      <c r="A183" s="433"/>
      <c r="B183" s="429"/>
      <c r="C183" s="32" t="s">
        <v>1</v>
      </c>
      <c r="D183" s="112"/>
      <c r="E183" s="108"/>
      <c r="F183" s="86">
        <f t="shared" si="5"/>
        <v>0</v>
      </c>
    </row>
    <row r="184" spans="1:6" s="24" customFormat="1" ht="13.5" customHeight="1" hidden="1">
      <c r="A184" s="433"/>
      <c r="B184" s="429"/>
      <c r="C184" s="32" t="s">
        <v>2</v>
      </c>
      <c r="D184" s="112"/>
      <c r="E184" s="108"/>
      <c r="F184" s="86">
        <f t="shared" si="5"/>
        <v>0</v>
      </c>
    </row>
    <row r="185" spans="1:6" s="24" customFormat="1" ht="13.5" customHeight="1" hidden="1">
      <c r="A185" s="433"/>
      <c r="B185" s="429"/>
      <c r="C185" s="32" t="s">
        <v>4</v>
      </c>
      <c r="D185" s="112"/>
      <c r="E185" s="108"/>
      <c r="F185" s="86">
        <f t="shared" si="5"/>
        <v>0</v>
      </c>
    </row>
    <row r="186" spans="1:6" s="24" customFormat="1" ht="13.5" customHeight="1" hidden="1">
      <c r="A186" s="433"/>
      <c r="B186" s="429"/>
      <c r="C186" s="32" t="s">
        <v>3</v>
      </c>
      <c r="D186" s="112"/>
      <c r="E186" s="108"/>
      <c r="F186" s="86">
        <f t="shared" si="5"/>
        <v>0</v>
      </c>
    </row>
    <row r="187" spans="1:6" s="3" customFormat="1" ht="13.5" customHeight="1" hidden="1">
      <c r="A187" s="433"/>
      <c r="B187" s="429"/>
      <c r="C187" s="18" t="s">
        <v>101</v>
      </c>
      <c r="D187" s="110">
        <f>D182+D183-D184</f>
        <v>0</v>
      </c>
      <c r="E187" s="109">
        <f>E182+E183-E184</f>
        <v>0</v>
      </c>
      <c r="F187" s="86">
        <f t="shared" si="5"/>
        <v>0</v>
      </c>
    </row>
    <row r="188" spans="1:6" s="24" customFormat="1" ht="13.5" customHeight="1" hidden="1">
      <c r="A188" s="433"/>
      <c r="B188" s="429" t="s">
        <v>18</v>
      </c>
      <c r="C188" s="32" t="s">
        <v>99</v>
      </c>
      <c r="D188" s="112"/>
      <c r="E188" s="108"/>
      <c r="F188" s="86">
        <f t="shared" si="5"/>
        <v>0</v>
      </c>
    </row>
    <row r="189" spans="1:6" s="24" customFormat="1" ht="13.5" customHeight="1" hidden="1">
      <c r="A189" s="433"/>
      <c r="B189" s="429"/>
      <c r="C189" s="32" t="s">
        <v>1</v>
      </c>
      <c r="D189" s="112"/>
      <c r="E189" s="108"/>
      <c r="F189" s="86">
        <f t="shared" si="5"/>
        <v>0</v>
      </c>
    </row>
    <row r="190" spans="1:6" s="24" customFormat="1" ht="13.5" customHeight="1" hidden="1">
      <c r="A190" s="433"/>
      <c r="B190" s="429"/>
      <c r="C190" s="32" t="s">
        <v>2</v>
      </c>
      <c r="D190" s="112"/>
      <c r="E190" s="108"/>
      <c r="F190" s="86">
        <f t="shared" si="5"/>
        <v>0</v>
      </c>
    </row>
    <row r="191" spans="1:6" s="24" customFormat="1" ht="13.5" customHeight="1" hidden="1">
      <c r="A191" s="433"/>
      <c r="B191" s="429"/>
      <c r="C191" s="32" t="s">
        <v>4</v>
      </c>
      <c r="D191" s="112"/>
      <c r="E191" s="108"/>
      <c r="F191" s="86">
        <f t="shared" si="5"/>
        <v>0</v>
      </c>
    </row>
    <row r="192" spans="1:6" s="24" customFormat="1" ht="13.5" customHeight="1" hidden="1">
      <c r="A192" s="433"/>
      <c r="B192" s="429"/>
      <c r="C192" s="32" t="s">
        <v>3</v>
      </c>
      <c r="D192" s="112"/>
      <c r="E192" s="108"/>
      <c r="F192" s="86">
        <f t="shared" si="5"/>
        <v>0</v>
      </c>
    </row>
    <row r="193" spans="1:6" s="3" customFormat="1" ht="13.5" customHeight="1" hidden="1">
      <c r="A193" s="433"/>
      <c r="B193" s="429"/>
      <c r="C193" s="18" t="s">
        <v>101</v>
      </c>
      <c r="D193" s="110">
        <f>D188+D189-D190</f>
        <v>0</v>
      </c>
      <c r="E193" s="109">
        <f>E188+E189-E190</f>
        <v>0</v>
      </c>
      <c r="F193" s="86">
        <f t="shared" si="5"/>
        <v>0</v>
      </c>
    </row>
    <row r="194" spans="1:6" s="24" customFormat="1" ht="13.5" customHeight="1" hidden="1">
      <c r="A194" s="433"/>
      <c r="B194" s="429" t="s">
        <v>19</v>
      </c>
      <c r="C194" s="32" t="s">
        <v>99</v>
      </c>
      <c r="D194" s="112"/>
      <c r="E194" s="108"/>
      <c r="F194" s="86">
        <f t="shared" si="5"/>
        <v>0</v>
      </c>
    </row>
    <row r="195" spans="1:6" s="24" customFormat="1" ht="13.5" customHeight="1" hidden="1">
      <c r="A195" s="433"/>
      <c r="B195" s="429"/>
      <c r="C195" s="32" t="s">
        <v>1</v>
      </c>
      <c r="D195" s="112"/>
      <c r="E195" s="108"/>
      <c r="F195" s="86">
        <f t="shared" si="5"/>
        <v>0</v>
      </c>
    </row>
    <row r="196" spans="1:6" s="24" customFormat="1" ht="13.5" customHeight="1" hidden="1">
      <c r="A196" s="433"/>
      <c r="B196" s="429"/>
      <c r="C196" s="32" t="s">
        <v>2</v>
      </c>
      <c r="D196" s="112"/>
      <c r="E196" s="108"/>
      <c r="F196" s="86">
        <f t="shared" si="5"/>
        <v>0</v>
      </c>
    </row>
    <row r="197" spans="1:6" s="24" customFormat="1" ht="13.5" customHeight="1" hidden="1">
      <c r="A197" s="433"/>
      <c r="B197" s="429"/>
      <c r="C197" s="32" t="s">
        <v>4</v>
      </c>
      <c r="D197" s="112"/>
      <c r="E197" s="108"/>
      <c r="F197" s="86">
        <f t="shared" si="5"/>
        <v>0</v>
      </c>
    </row>
    <row r="198" spans="1:6" s="24" customFormat="1" ht="13.5" customHeight="1" hidden="1">
      <c r="A198" s="433"/>
      <c r="B198" s="429"/>
      <c r="C198" s="32" t="s">
        <v>3</v>
      </c>
      <c r="D198" s="112"/>
      <c r="E198" s="108"/>
      <c r="F198" s="86">
        <f t="shared" si="5"/>
        <v>0</v>
      </c>
    </row>
    <row r="199" spans="1:6" s="3" customFormat="1" ht="13.5" customHeight="1" hidden="1">
      <c r="A199" s="435"/>
      <c r="B199" s="429"/>
      <c r="C199" s="18" t="s">
        <v>101</v>
      </c>
      <c r="D199" s="110">
        <f>D194+D195-D196</f>
        <v>0</v>
      </c>
      <c r="E199" s="109">
        <f>E194+E195-E196</f>
        <v>0</v>
      </c>
      <c r="F199" s="86">
        <f t="shared" si="5"/>
        <v>0</v>
      </c>
    </row>
    <row r="200" spans="1:6" s="24" customFormat="1" ht="13.5" customHeight="1" hidden="1" thickBot="1">
      <c r="A200" s="428" t="s">
        <v>20</v>
      </c>
      <c r="B200" s="429" t="s">
        <v>21</v>
      </c>
      <c r="C200" s="32" t="s">
        <v>99</v>
      </c>
      <c r="D200" s="112"/>
      <c r="E200" s="108"/>
      <c r="F200" s="86">
        <f t="shared" si="5"/>
        <v>0</v>
      </c>
    </row>
    <row r="201" spans="1:6" s="24" customFormat="1" ht="13.5" customHeight="1" hidden="1" thickBot="1">
      <c r="A201" s="428"/>
      <c r="B201" s="429"/>
      <c r="C201" s="32" t="s">
        <v>1</v>
      </c>
      <c r="D201" s="112"/>
      <c r="E201" s="108"/>
      <c r="F201" s="86">
        <f t="shared" si="5"/>
        <v>0</v>
      </c>
    </row>
    <row r="202" spans="1:6" s="24" customFormat="1" ht="13.5" customHeight="1" hidden="1" thickBot="1">
      <c r="A202" s="428"/>
      <c r="B202" s="429"/>
      <c r="C202" s="32" t="s">
        <v>2</v>
      </c>
      <c r="D202" s="112"/>
      <c r="E202" s="108"/>
      <c r="F202" s="86">
        <f t="shared" si="5"/>
        <v>0</v>
      </c>
    </row>
    <row r="203" spans="1:6" s="24" customFormat="1" ht="13.5" customHeight="1" hidden="1" thickBot="1">
      <c r="A203" s="428"/>
      <c r="B203" s="429"/>
      <c r="C203" s="32" t="s">
        <v>4</v>
      </c>
      <c r="D203" s="112"/>
      <c r="E203" s="108"/>
      <c r="F203" s="86">
        <f t="shared" si="5"/>
        <v>0</v>
      </c>
    </row>
    <row r="204" spans="1:6" s="24" customFormat="1" ht="13.5" customHeight="1" hidden="1" thickBot="1">
      <c r="A204" s="428"/>
      <c r="B204" s="429"/>
      <c r="C204" s="32" t="s">
        <v>3</v>
      </c>
      <c r="D204" s="112"/>
      <c r="E204" s="108"/>
      <c r="F204" s="86">
        <f t="shared" si="5"/>
        <v>0</v>
      </c>
    </row>
    <row r="205" spans="1:6" s="3" customFormat="1" ht="13.5" customHeight="1" hidden="1" thickBot="1">
      <c r="A205" s="428"/>
      <c r="B205" s="429"/>
      <c r="C205" s="18" t="s">
        <v>101</v>
      </c>
      <c r="D205" s="110">
        <f>D200+D201-D202</f>
        <v>0</v>
      </c>
      <c r="E205" s="109">
        <f>E200+E201-E202</f>
        <v>0</v>
      </c>
      <c r="F205" s="86">
        <f t="shared" si="5"/>
        <v>0</v>
      </c>
    </row>
    <row r="206" spans="1:6" s="24" customFormat="1" ht="12.75" customHeight="1" hidden="1">
      <c r="A206" s="428" t="s">
        <v>22</v>
      </c>
      <c r="B206" s="429" t="s">
        <v>21</v>
      </c>
      <c r="C206" s="32" t="s">
        <v>99</v>
      </c>
      <c r="D206" s="112"/>
      <c r="E206" s="108"/>
      <c r="F206" s="86">
        <f t="shared" si="5"/>
        <v>0</v>
      </c>
    </row>
    <row r="207" spans="1:6" s="24" customFormat="1" ht="13.5" customHeight="1" hidden="1">
      <c r="A207" s="428"/>
      <c r="B207" s="429"/>
      <c r="C207" s="32" t="s">
        <v>1</v>
      </c>
      <c r="D207" s="112"/>
      <c r="E207" s="108"/>
      <c r="F207" s="86">
        <f t="shared" si="5"/>
        <v>0</v>
      </c>
    </row>
    <row r="208" spans="1:6" s="24" customFormat="1" ht="13.5" customHeight="1" hidden="1">
      <c r="A208" s="428"/>
      <c r="B208" s="429"/>
      <c r="C208" s="32" t="s">
        <v>2</v>
      </c>
      <c r="D208" s="112"/>
      <c r="E208" s="108"/>
      <c r="F208" s="86">
        <f t="shared" si="5"/>
        <v>0</v>
      </c>
    </row>
    <row r="209" spans="1:6" s="24" customFormat="1" ht="13.5" customHeight="1" hidden="1">
      <c r="A209" s="428"/>
      <c r="B209" s="429"/>
      <c r="C209" s="32" t="s">
        <v>4</v>
      </c>
      <c r="D209" s="112"/>
      <c r="E209" s="108"/>
      <c r="F209" s="86">
        <f t="shared" si="5"/>
        <v>0</v>
      </c>
    </row>
    <row r="210" spans="1:6" s="24" customFormat="1" ht="13.5" customHeight="1" hidden="1">
      <c r="A210" s="428"/>
      <c r="B210" s="429"/>
      <c r="C210" s="32" t="s">
        <v>3</v>
      </c>
      <c r="D210" s="112"/>
      <c r="E210" s="108"/>
      <c r="F210" s="86">
        <f t="shared" si="5"/>
        <v>0</v>
      </c>
    </row>
    <row r="211" spans="1:6" s="3" customFormat="1" ht="13.5" customHeight="1" hidden="1">
      <c r="A211" s="428"/>
      <c r="B211" s="429"/>
      <c r="C211" s="19" t="s">
        <v>101</v>
      </c>
      <c r="D211" s="114">
        <f>D206+D207-D208</f>
        <v>0</v>
      </c>
      <c r="E211" s="113">
        <f>E206+E207-E208</f>
        <v>0</v>
      </c>
      <c r="F211" s="89">
        <f t="shared" si="5"/>
        <v>0</v>
      </c>
    </row>
    <row r="212" spans="1:6" s="3" customFormat="1" ht="13.5" customHeight="1" thickBot="1">
      <c r="A212" s="434" t="s">
        <v>20</v>
      </c>
      <c r="B212" s="429" t="s">
        <v>21</v>
      </c>
      <c r="C212" s="51" t="s">
        <v>175</v>
      </c>
      <c r="D212" s="173">
        <v>11379.65</v>
      </c>
      <c r="E212" s="223">
        <v>7818.25</v>
      </c>
      <c r="F212" s="86">
        <f aca="true" t="shared" si="6" ref="F212:F217">SUM(D212:E212)</f>
        <v>19197.9</v>
      </c>
    </row>
    <row r="213" spans="1:6" s="3" customFormat="1" ht="13.5" customHeight="1" thickBot="1">
      <c r="A213" s="433"/>
      <c r="B213" s="429"/>
      <c r="C213" s="39" t="s">
        <v>1</v>
      </c>
      <c r="D213" s="173">
        <v>76055.88</v>
      </c>
      <c r="E213" s="223">
        <v>76634.91</v>
      </c>
      <c r="F213" s="86">
        <f t="shared" si="6"/>
        <v>152690.79</v>
      </c>
    </row>
    <row r="214" spans="1:6" s="3" customFormat="1" ht="13.5" customHeight="1" thickBot="1">
      <c r="A214" s="433"/>
      <c r="B214" s="429"/>
      <c r="C214" s="39" t="s">
        <v>2</v>
      </c>
      <c r="D214" s="173">
        <v>78821.68</v>
      </c>
      <c r="E214" s="223">
        <v>73012.92</v>
      </c>
      <c r="F214" s="86">
        <f t="shared" si="6"/>
        <v>151834.59999999998</v>
      </c>
    </row>
    <row r="215" spans="1:6" s="3" customFormat="1" ht="13.5" customHeight="1" thickBot="1">
      <c r="A215" s="433"/>
      <c r="B215" s="429"/>
      <c r="C215" s="39" t="s">
        <v>4</v>
      </c>
      <c r="D215" s="219">
        <v>80363.22</v>
      </c>
      <c r="E215" s="229">
        <v>78119.39</v>
      </c>
      <c r="F215" s="208">
        <f t="shared" si="6"/>
        <v>158482.61</v>
      </c>
    </row>
    <row r="216" spans="1:6" s="3" customFormat="1" ht="13.5" customHeight="1" thickBot="1">
      <c r="A216" s="433"/>
      <c r="B216" s="429"/>
      <c r="C216" s="39" t="s">
        <v>3</v>
      </c>
      <c r="D216" s="173">
        <f>+D214</f>
        <v>78821.68</v>
      </c>
      <c r="E216" s="173">
        <f>+E214</f>
        <v>73012.92</v>
      </c>
      <c r="F216" s="86">
        <f t="shared" si="6"/>
        <v>151834.59999999998</v>
      </c>
    </row>
    <row r="217" spans="1:6" s="3" customFormat="1" ht="13.5" customHeight="1" thickBot="1">
      <c r="A217" s="433"/>
      <c r="B217" s="429"/>
      <c r="C217" s="40" t="s">
        <v>199</v>
      </c>
      <c r="D217" s="75">
        <f>D212+D213-D214</f>
        <v>8613.850000000006</v>
      </c>
      <c r="E217" s="232">
        <f>E212+E213-E214</f>
        <v>11440.240000000005</v>
      </c>
      <c r="F217" s="78">
        <f t="shared" si="6"/>
        <v>20054.09000000001</v>
      </c>
    </row>
    <row r="218" spans="1:6" s="24" customFormat="1" ht="13.5" customHeight="1" thickBot="1">
      <c r="A218" s="433"/>
      <c r="B218" s="429" t="s">
        <v>149</v>
      </c>
      <c r="C218" s="51" t="s">
        <v>175</v>
      </c>
      <c r="D218" s="179">
        <v>1477.09</v>
      </c>
      <c r="E218" s="224">
        <v>1094.03</v>
      </c>
      <c r="F218" s="90">
        <f t="shared" si="5"/>
        <v>2571.12</v>
      </c>
    </row>
    <row r="219" spans="1:6" s="24" customFormat="1" ht="13.5" thickBot="1">
      <c r="A219" s="433"/>
      <c r="B219" s="429"/>
      <c r="C219" s="39" t="s">
        <v>1</v>
      </c>
      <c r="D219" s="177">
        <v>10479.36</v>
      </c>
      <c r="E219" s="223">
        <v>10711.99</v>
      </c>
      <c r="F219" s="86">
        <f t="shared" si="5"/>
        <v>21191.35</v>
      </c>
    </row>
    <row r="220" spans="1:6" s="24" customFormat="1" ht="13.5" thickBot="1">
      <c r="A220" s="433"/>
      <c r="B220" s="429"/>
      <c r="C220" s="39" t="s">
        <v>2</v>
      </c>
      <c r="D220" s="177">
        <v>10883.65</v>
      </c>
      <c r="E220" s="223">
        <v>10208.07</v>
      </c>
      <c r="F220" s="86">
        <f t="shared" si="5"/>
        <v>21091.72</v>
      </c>
    </row>
    <row r="221" spans="1:6" s="24" customFormat="1" ht="13.5" thickBot="1">
      <c r="A221" s="433"/>
      <c r="B221" s="429"/>
      <c r="C221" s="39" t="s">
        <v>4</v>
      </c>
      <c r="D221" s="173">
        <f>+D219</f>
        <v>10479.36</v>
      </c>
      <c r="E221" s="173">
        <f>+E219</f>
        <v>10711.99</v>
      </c>
      <c r="F221" s="86">
        <f t="shared" si="5"/>
        <v>21191.35</v>
      </c>
    </row>
    <row r="222" spans="1:6" s="24" customFormat="1" ht="13.5" thickBot="1">
      <c r="A222" s="433"/>
      <c r="B222" s="429"/>
      <c r="C222" s="39" t="s">
        <v>3</v>
      </c>
      <c r="D222" s="173">
        <f>+D220</f>
        <v>10883.65</v>
      </c>
      <c r="E222" s="173">
        <f>+E220</f>
        <v>10208.07</v>
      </c>
      <c r="F222" s="86">
        <f t="shared" si="5"/>
        <v>21091.72</v>
      </c>
    </row>
    <row r="223" spans="1:6" s="3" customFormat="1" ht="13.5" thickBot="1">
      <c r="A223" s="435"/>
      <c r="B223" s="429"/>
      <c r="C223" s="40" t="s">
        <v>199</v>
      </c>
      <c r="D223" s="75">
        <f>D218+D219-D220</f>
        <v>1072.800000000001</v>
      </c>
      <c r="E223" s="76">
        <f>E218+E219-E220</f>
        <v>1597.9500000000007</v>
      </c>
      <c r="F223" s="78">
        <f t="shared" si="5"/>
        <v>2670.750000000002</v>
      </c>
    </row>
    <row r="224" spans="1:6" s="3" customFormat="1" ht="14.25" customHeight="1" hidden="1" thickBot="1">
      <c r="A224" s="33" t="s">
        <v>23</v>
      </c>
      <c r="B224" s="430" t="s">
        <v>18</v>
      </c>
      <c r="C224" s="51" t="s">
        <v>156</v>
      </c>
      <c r="D224" s="90"/>
      <c r="E224" s="107"/>
      <c r="F224" s="90">
        <f t="shared" si="5"/>
        <v>0</v>
      </c>
    </row>
    <row r="225" spans="1:6" s="3" customFormat="1" ht="13.5" customHeight="1" hidden="1" thickBot="1">
      <c r="A225" s="34"/>
      <c r="B225" s="431"/>
      <c r="C225" s="39" t="s">
        <v>1</v>
      </c>
      <c r="D225" s="86"/>
      <c r="E225" s="88"/>
      <c r="F225" s="86">
        <f t="shared" si="5"/>
        <v>0</v>
      </c>
    </row>
    <row r="226" spans="1:6" s="3" customFormat="1" ht="13.5" customHeight="1" hidden="1" thickBot="1">
      <c r="A226" s="34"/>
      <c r="B226" s="431"/>
      <c r="C226" s="39" t="s">
        <v>2</v>
      </c>
      <c r="D226" s="86"/>
      <c r="E226" s="88"/>
      <c r="F226" s="86">
        <f t="shared" si="5"/>
        <v>0</v>
      </c>
    </row>
    <row r="227" spans="1:6" s="3" customFormat="1" ht="13.5" customHeight="1" hidden="1" thickBot="1">
      <c r="A227" s="34"/>
      <c r="B227" s="431"/>
      <c r="C227" s="39" t="s">
        <v>4</v>
      </c>
      <c r="D227" s="112">
        <f>D225</f>
        <v>0</v>
      </c>
      <c r="E227" s="108">
        <f>E225</f>
        <v>0</v>
      </c>
      <c r="F227" s="86">
        <f t="shared" si="5"/>
        <v>0</v>
      </c>
    </row>
    <row r="228" spans="1:6" s="3" customFormat="1" ht="13.5" customHeight="1" hidden="1" thickBot="1">
      <c r="A228" s="34"/>
      <c r="B228" s="431"/>
      <c r="C228" s="39" t="s">
        <v>3</v>
      </c>
      <c r="D228" s="112">
        <f>D225</f>
        <v>0</v>
      </c>
      <c r="E228" s="108">
        <f>E225</f>
        <v>0</v>
      </c>
      <c r="F228" s="86">
        <f t="shared" si="5"/>
        <v>0</v>
      </c>
    </row>
    <row r="229" spans="1:6" s="3" customFormat="1" ht="13.5" customHeight="1" hidden="1" thickBot="1">
      <c r="A229" s="34"/>
      <c r="B229" s="432"/>
      <c r="C229" s="40" t="s">
        <v>160</v>
      </c>
      <c r="D229" s="110">
        <f>D224+D225-D226</f>
        <v>0</v>
      </c>
      <c r="E229" s="109">
        <f>E224+E225-E226</f>
        <v>0</v>
      </c>
      <c r="F229" s="86">
        <f t="shared" si="5"/>
        <v>0</v>
      </c>
    </row>
    <row r="230" spans="1:6" s="3" customFormat="1" ht="13.5" customHeight="1" hidden="1" thickBot="1">
      <c r="A230" s="34"/>
      <c r="B230" s="430" t="s">
        <v>40</v>
      </c>
      <c r="C230" s="51" t="s">
        <v>156</v>
      </c>
      <c r="D230" s="86"/>
      <c r="E230" s="88"/>
      <c r="F230" s="86">
        <f t="shared" si="5"/>
        <v>0</v>
      </c>
    </row>
    <row r="231" spans="1:6" s="3" customFormat="1" ht="13.5" customHeight="1" hidden="1" thickBot="1">
      <c r="A231" s="34"/>
      <c r="B231" s="431"/>
      <c r="C231" s="39" t="s">
        <v>1</v>
      </c>
      <c r="D231" s="86"/>
      <c r="E231" s="88"/>
      <c r="F231" s="86">
        <f t="shared" si="5"/>
        <v>0</v>
      </c>
    </row>
    <row r="232" spans="1:6" s="3" customFormat="1" ht="13.5" customHeight="1" hidden="1" thickBot="1">
      <c r="A232" s="34"/>
      <c r="B232" s="431"/>
      <c r="C232" s="39" t="s">
        <v>2</v>
      </c>
      <c r="D232" s="86"/>
      <c r="E232" s="88"/>
      <c r="F232" s="86">
        <f t="shared" si="5"/>
        <v>0</v>
      </c>
    </row>
    <row r="233" spans="1:6" s="3" customFormat="1" ht="13.5" customHeight="1" hidden="1" thickBot="1">
      <c r="A233" s="34"/>
      <c r="B233" s="431"/>
      <c r="C233" s="39" t="s">
        <v>4</v>
      </c>
      <c r="D233" s="112">
        <f>D231</f>
        <v>0</v>
      </c>
      <c r="E233" s="108">
        <f>E231</f>
        <v>0</v>
      </c>
      <c r="F233" s="86">
        <f t="shared" si="5"/>
        <v>0</v>
      </c>
    </row>
    <row r="234" spans="1:6" s="3" customFormat="1" ht="13.5" customHeight="1" hidden="1" thickBot="1">
      <c r="A234" s="34"/>
      <c r="B234" s="431"/>
      <c r="C234" s="39" t="s">
        <v>3</v>
      </c>
      <c r="D234" s="112">
        <f>D231</f>
        <v>0</v>
      </c>
      <c r="E234" s="108">
        <f>E231</f>
        <v>0</v>
      </c>
      <c r="F234" s="86">
        <f t="shared" si="5"/>
        <v>0</v>
      </c>
    </row>
    <row r="235" spans="1:6" s="3" customFormat="1" ht="13.5" customHeight="1" hidden="1" thickBot="1">
      <c r="A235" s="34"/>
      <c r="B235" s="432"/>
      <c r="C235" s="40" t="s">
        <v>160</v>
      </c>
      <c r="D235" s="110">
        <f>D230+D231-D232</f>
        <v>0</v>
      </c>
      <c r="E235" s="109">
        <f>E230+E231-E232</f>
        <v>0</v>
      </c>
      <c r="F235" s="86">
        <f t="shared" si="5"/>
        <v>0</v>
      </c>
    </row>
    <row r="236" spans="1:6" s="3" customFormat="1" ht="13.5" customHeight="1" hidden="1" thickBot="1">
      <c r="A236" s="34"/>
      <c r="B236" s="430" t="s">
        <v>33</v>
      </c>
      <c r="C236" s="51" t="s">
        <v>156</v>
      </c>
      <c r="D236" s="86"/>
      <c r="E236" s="88"/>
      <c r="F236" s="86">
        <f t="shared" si="5"/>
        <v>0</v>
      </c>
    </row>
    <row r="237" spans="1:6" s="3" customFormat="1" ht="13.5" customHeight="1" hidden="1" thickBot="1">
      <c r="A237" s="34"/>
      <c r="B237" s="431"/>
      <c r="C237" s="39" t="s">
        <v>1</v>
      </c>
      <c r="D237" s="86"/>
      <c r="E237" s="88"/>
      <c r="F237" s="86">
        <f t="shared" si="5"/>
        <v>0</v>
      </c>
    </row>
    <row r="238" spans="1:6" s="3" customFormat="1" ht="13.5" customHeight="1" hidden="1" thickBot="1">
      <c r="A238" s="34"/>
      <c r="B238" s="431"/>
      <c r="C238" s="39" t="s">
        <v>2</v>
      </c>
      <c r="D238" s="86"/>
      <c r="E238" s="88"/>
      <c r="F238" s="86">
        <f t="shared" si="5"/>
        <v>0</v>
      </c>
    </row>
    <row r="239" spans="1:6" s="3" customFormat="1" ht="13.5" customHeight="1" hidden="1" thickBot="1">
      <c r="A239" s="34"/>
      <c r="B239" s="431"/>
      <c r="C239" s="39" t="s">
        <v>4</v>
      </c>
      <c r="D239" s="112">
        <f>D237</f>
        <v>0</v>
      </c>
      <c r="E239" s="108">
        <f>E237</f>
        <v>0</v>
      </c>
      <c r="F239" s="86">
        <f t="shared" si="5"/>
        <v>0</v>
      </c>
    </row>
    <row r="240" spans="1:6" s="3" customFormat="1" ht="13.5" customHeight="1" hidden="1" thickBot="1">
      <c r="A240" s="34"/>
      <c r="B240" s="431"/>
      <c r="C240" s="39" t="s">
        <v>3</v>
      </c>
      <c r="D240" s="112">
        <f>D237</f>
        <v>0</v>
      </c>
      <c r="E240" s="108">
        <f>E237</f>
        <v>0</v>
      </c>
      <c r="F240" s="86">
        <f t="shared" si="5"/>
        <v>0</v>
      </c>
    </row>
    <row r="241" spans="1:6" s="3" customFormat="1" ht="13.5" customHeight="1" hidden="1" thickBot="1">
      <c r="A241" s="34"/>
      <c r="B241" s="432"/>
      <c r="C241" s="40" t="s">
        <v>160</v>
      </c>
      <c r="D241" s="110">
        <f>D236+D237-D238</f>
        <v>0</v>
      </c>
      <c r="E241" s="109">
        <f>E236+E237-E238</f>
        <v>0</v>
      </c>
      <c r="F241" s="86">
        <f t="shared" si="5"/>
        <v>0</v>
      </c>
    </row>
    <row r="242" spans="1:6" s="3" customFormat="1" ht="13.5" customHeight="1">
      <c r="A242" s="382" t="s">
        <v>161</v>
      </c>
      <c r="B242" s="436" t="s">
        <v>106</v>
      </c>
      <c r="C242" s="51" t="s">
        <v>175</v>
      </c>
      <c r="D242" s="179">
        <v>0</v>
      </c>
      <c r="E242" s="224">
        <v>-637.93</v>
      </c>
      <c r="F242" s="90">
        <f aca="true" t="shared" si="7" ref="F242:F247">SUM(D242:E242)</f>
        <v>-637.93</v>
      </c>
    </row>
    <row r="243" spans="1:6" s="3" customFormat="1" ht="13.5" customHeight="1">
      <c r="A243" s="383"/>
      <c r="B243" s="437"/>
      <c r="C243" s="39" t="s">
        <v>1</v>
      </c>
      <c r="D243" s="177">
        <v>0</v>
      </c>
      <c r="E243" s="223">
        <v>7334</v>
      </c>
      <c r="F243" s="86">
        <f t="shared" si="7"/>
        <v>7334</v>
      </c>
    </row>
    <row r="244" spans="1:6" s="3" customFormat="1" ht="13.5" customHeight="1">
      <c r="A244" s="383"/>
      <c r="B244" s="437"/>
      <c r="C244" s="39" t="s">
        <v>2</v>
      </c>
      <c r="D244" s="177">
        <v>0</v>
      </c>
      <c r="E244" s="223">
        <v>6696.07</v>
      </c>
      <c r="F244" s="86">
        <f t="shared" si="7"/>
        <v>6696.07</v>
      </c>
    </row>
    <row r="245" spans="1:6" s="3" customFormat="1" ht="13.5" customHeight="1">
      <c r="A245" s="383"/>
      <c r="B245" s="437"/>
      <c r="C245" s="39" t="s">
        <v>4</v>
      </c>
      <c r="D245" s="173">
        <f>+D243</f>
        <v>0</v>
      </c>
      <c r="E245" s="173">
        <f>+E243</f>
        <v>7334</v>
      </c>
      <c r="F245" s="86">
        <f t="shared" si="7"/>
        <v>7334</v>
      </c>
    </row>
    <row r="246" spans="1:6" s="3" customFormat="1" ht="13.5" customHeight="1">
      <c r="A246" s="383"/>
      <c r="B246" s="437"/>
      <c r="C246" s="39" t="s">
        <v>3</v>
      </c>
      <c r="D246" s="173">
        <f>+D244</f>
        <v>0</v>
      </c>
      <c r="E246" s="223">
        <f>E244</f>
        <v>6696.07</v>
      </c>
      <c r="F246" s="86">
        <f t="shared" si="7"/>
        <v>6696.07</v>
      </c>
    </row>
    <row r="247" spans="1:6" s="3" customFormat="1" ht="13.5" customHeight="1" thickBot="1">
      <c r="A247" s="384"/>
      <c r="B247" s="438"/>
      <c r="C247" s="40" t="s">
        <v>199</v>
      </c>
      <c r="D247" s="75">
        <f>D242+D243-D244</f>
        <v>0</v>
      </c>
      <c r="E247" s="75">
        <f>E242+E243-E244</f>
        <v>0</v>
      </c>
      <c r="F247" s="78">
        <f t="shared" si="7"/>
        <v>0</v>
      </c>
    </row>
    <row r="248" spans="1:6" s="24" customFormat="1" ht="12.75" customHeight="1" thickBot="1">
      <c r="A248" s="434" t="s">
        <v>118</v>
      </c>
      <c r="B248" s="429" t="s">
        <v>41</v>
      </c>
      <c r="C248" s="51" t="s">
        <v>175</v>
      </c>
      <c r="D248" s="179">
        <v>64659.5</v>
      </c>
      <c r="E248" s="222">
        <v>58971.28</v>
      </c>
      <c r="F248" s="106">
        <f aca="true" t="shared" si="8" ref="F248:F305">SUM(D248:E248)</f>
        <v>123630.78</v>
      </c>
    </row>
    <row r="249" spans="1:6" s="24" customFormat="1" ht="13.5" thickBot="1">
      <c r="A249" s="433"/>
      <c r="B249" s="429"/>
      <c r="C249" s="39" t="s">
        <v>1</v>
      </c>
      <c r="D249" s="177">
        <v>373506.07</v>
      </c>
      <c r="E249" s="217">
        <v>413779.98</v>
      </c>
      <c r="F249" s="86">
        <f t="shared" si="8"/>
        <v>787286.05</v>
      </c>
    </row>
    <row r="250" spans="1:6" s="24" customFormat="1" ht="13.5" thickBot="1">
      <c r="A250" s="433"/>
      <c r="B250" s="429"/>
      <c r="C250" s="39" t="s">
        <v>2</v>
      </c>
      <c r="D250" s="177">
        <v>414580.15</v>
      </c>
      <c r="E250" s="217">
        <v>393143.84</v>
      </c>
      <c r="F250" s="86">
        <f t="shared" si="8"/>
        <v>807723.99</v>
      </c>
    </row>
    <row r="251" spans="1:6" s="24" customFormat="1" ht="13.5" thickBot="1">
      <c r="A251" s="433"/>
      <c r="B251" s="429"/>
      <c r="C251" s="39" t="s">
        <v>4</v>
      </c>
      <c r="D251" s="173">
        <f>+D249</f>
        <v>373506.07</v>
      </c>
      <c r="E251" s="223">
        <f>+E249</f>
        <v>413779.98</v>
      </c>
      <c r="F251" s="86">
        <f t="shared" si="8"/>
        <v>787286.05</v>
      </c>
    </row>
    <row r="252" spans="1:6" s="24" customFormat="1" ht="13.5" thickBot="1">
      <c r="A252" s="433"/>
      <c r="B252" s="429"/>
      <c r="C252" s="39" t="s">
        <v>3</v>
      </c>
      <c r="D252" s="173">
        <f>+D250</f>
        <v>414580.15</v>
      </c>
      <c r="E252" s="223">
        <f>+E250</f>
        <v>393143.84</v>
      </c>
      <c r="F252" s="86">
        <f t="shared" si="8"/>
        <v>807723.99</v>
      </c>
    </row>
    <row r="253" spans="1:6" s="3" customFormat="1" ht="13.5" thickBot="1">
      <c r="A253" s="435"/>
      <c r="B253" s="429"/>
      <c r="C253" s="40" t="s">
        <v>199</v>
      </c>
      <c r="D253" s="75">
        <f>D248+D249-D250</f>
        <v>23585.419999999984</v>
      </c>
      <c r="E253" s="76">
        <f>E248+E249-E250</f>
        <v>79607.41999999998</v>
      </c>
      <c r="F253" s="78">
        <f t="shared" si="8"/>
        <v>103192.83999999997</v>
      </c>
    </row>
    <row r="254" spans="1:6" s="24" customFormat="1" ht="12.75">
      <c r="A254" s="393" t="s">
        <v>189</v>
      </c>
      <c r="B254" s="393"/>
      <c r="C254" s="393"/>
      <c r="D254" s="189"/>
      <c r="E254" s="190"/>
      <c r="F254" s="191"/>
    </row>
    <row r="255" spans="1:6" s="24" customFormat="1" ht="13.5" thickBot="1">
      <c r="A255" s="426"/>
      <c r="B255" s="426"/>
      <c r="C255" s="343" t="s">
        <v>175</v>
      </c>
      <c r="D255" s="184">
        <f>D115+D121+D127+D140+D146+D152+D212+D218+D248+D242</f>
        <v>188826.46999999997</v>
      </c>
      <c r="E255" s="184">
        <f>E115+E121+E127+E140+E146+E152+E212+E218+E248+E242</f>
        <v>144661.43</v>
      </c>
      <c r="F255" s="184">
        <f>F115+F121+F127+F140+F146+F152+F212+F218+F248+F242</f>
        <v>333487.89999999997</v>
      </c>
    </row>
    <row r="256" spans="1:6" s="24" customFormat="1" ht="13.5" thickBot="1">
      <c r="A256" s="427"/>
      <c r="B256" s="427"/>
      <c r="C256" s="342" t="s">
        <v>1</v>
      </c>
      <c r="D256" s="184">
        <f aca="true" t="shared" si="9" ref="D256:F259">D116+D122+D128+D141+D147+D153+D213+D219+D249+D243</f>
        <v>1215431.77</v>
      </c>
      <c r="E256" s="184">
        <f t="shared" si="9"/>
        <v>1271105.42</v>
      </c>
      <c r="F256" s="184">
        <f t="shared" si="9"/>
        <v>2486537.1900000004</v>
      </c>
    </row>
    <row r="257" spans="1:6" s="24" customFormat="1" ht="13.5" thickBot="1">
      <c r="A257" s="427"/>
      <c r="B257" s="427"/>
      <c r="C257" s="342" t="s">
        <v>2</v>
      </c>
      <c r="D257" s="184">
        <f t="shared" si="9"/>
        <v>1287055.9800000002</v>
      </c>
      <c r="E257" s="184">
        <f t="shared" si="9"/>
        <v>1209655.7000000002</v>
      </c>
      <c r="F257" s="184">
        <f t="shared" si="9"/>
        <v>2496711.6799999997</v>
      </c>
    </row>
    <row r="258" spans="1:6" s="24" customFormat="1" ht="13.5" thickBot="1">
      <c r="A258" s="427"/>
      <c r="B258" s="427"/>
      <c r="C258" s="342" t="s">
        <v>4</v>
      </c>
      <c r="D258" s="184">
        <f t="shared" si="9"/>
        <v>1294133.0799999998</v>
      </c>
      <c r="E258" s="184">
        <f t="shared" si="9"/>
        <v>1308669.32</v>
      </c>
      <c r="F258" s="184">
        <f t="shared" si="9"/>
        <v>2602802.4000000004</v>
      </c>
    </row>
    <row r="259" spans="1:6" s="24" customFormat="1" ht="13.5" thickBot="1">
      <c r="A259" s="427"/>
      <c r="B259" s="427"/>
      <c r="C259" s="342" t="s">
        <v>3</v>
      </c>
      <c r="D259" s="184">
        <f t="shared" si="9"/>
        <v>1287055.9800000002</v>
      </c>
      <c r="E259" s="184">
        <f t="shared" si="9"/>
        <v>1209655.7000000002</v>
      </c>
      <c r="F259" s="184">
        <f t="shared" si="9"/>
        <v>2496711.6799999997</v>
      </c>
    </row>
    <row r="260" spans="1:6" s="3" customFormat="1" ht="13.5" thickBot="1">
      <c r="A260" s="427"/>
      <c r="B260" s="427"/>
      <c r="C260" s="346" t="s">
        <v>199</v>
      </c>
      <c r="D260" s="185">
        <f>D120+D126+D132+D145+D151+D157+D217+D223+D253+D247</f>
        <v>117202.26000000007</v>
      </c>
      <c r="E260" s="185">
        <f>E120+E126+E132+E145+E151+E157+E217+E223+E253+E247</f>
        <v>206111.14999999997</v>
      </c>
      <c r="F260" s="185">
        <f>F120+F126+F132+F145+F151+F157+F217+F223+F253+F247</f>
        <v>323313.41</v>
      </c>
    </row>
    <row r="261" spans="1:6" s="3" customFormat="1" ht="13.5" hidden="1" thickBot="1">
      <c r="A261" s="433" t="s">
        <v>114</v>
      </c>
      <c r="B261" s="432" t="s">
        <v>106</v>
      </c>
      <c r="C261" s="193" t="s">
        <v>101</v>
      </c>
      <c r="D261" s="187"/>
      <c r="E261" s="188"/>
      <c r="F261" s="90">
        <f t="shared" si="8"/>
        <v>0</v>
      </c>
    </row>
    <row r="262" spans="1:6" s="3" customFormat="1" ht="13.5" hidden="1" thickBot="1">
      <c r="A262" s="433"/>
      <c r="B262" s="429"/>
      <c r="C262" s="39" t="s">
        <v>1</v>
      </c>
      <c r="D262" s="120"/>
      <c r="E262" s="118"/>
      <c r="F262" s="86">
        <f t="shared" si="8"/>
        <v>0</v>
      </c>
    </row>
    <row r="263" spans="1:6" s="3" customFormat="1" ht="13.5" hidden="1" thickBot="1">
      <c r="A263" s="433"/>
      <c r="B263" s="429"/>
      <c r="C263" s="39" t="s">
        <v>2</v>
      </c>
      <c r="D263" s="120"/>
      <c r="E263" s="118"/>
      <c r="F263" s="86">
        <f t="shared" si="8"/>
        <v>0</v>
      </c>
    </row>
    <row r="264" spans="1:6" s="3" customFormat="1" ht="13.5" hidden="1" thickBot="1">
      <c r="A264" s="433"/>
      <c r="B264" s="429"/>
      <c r="C264" s="39" t="s">
        <v>4</v>
      </c>
      <c r="D264" s="157"/>
      <c r="E264" s="156"/>
      <c r="F264" s="86">
        <f t="shared" si="8"/>
        <v>0</v>
      </c>
    </row>
    <row r="265" spans="1:6" s="3" customFormat="1" ht="13.5" hidden="1" thickBot="1">
      <c r="A265" s="433"/>
      <c r="B265" s="429"/>
      <c r="C265" s="39" t="s">
        <v>3</v>
      </c>
      <c r="D265" s="157"/>
      <c r="E265" s="156"/>
      <c r="F265" s="86">
        <f t="shared" si="8"/>
        <v>0</v>
      </c>
    </row>
    <row r="266" spans="1:6" s="3" customFormat="1" ht="13.5" hidden="1" thickBot="1">
      <c r="A266" s="433"/>
      <c r="B266" s="429"/>
      <c r="C266" s="40" t="s">
        <v>112</v>
      </c>
      <c r="D266" s="114"/>
      <c r="E266" s="113"/>
      <c r="F266" s="89">
        <f t="shared" si="8"/>
        <v>0</v>
      </c>
    </row>
    <row r="267" spans="1:8" s="3" customFormat="1" ht="13.5" thickBot="1">
      <c r="A267" s="428" t="s">
        <v>39</v>
      </c>
      <c r="B267" s="429" t="s">
        <v>27</v>
      </c>
      <c r="C267" s="51" t="s">
        <v>175</v>
      </c>
      <c r="D267" s="177">
        <v>6747.13</v>
      </c>
      <c r="E267" s="217">
        <v>1625.89</v>
      </c>
      <c r="F267" s="106">
        <f t="shared" si="8"/>
        <v>8373.02</v>
      </c>
      <c r="G267" s="21"/>
      <c r="H267" s="35"/>
    </row>
    <row r="268" spans="1:8" s="3" customFormat="1" ht="13.5" thickBot="1">
      <c r="A268" s="428"/>
      <c r="B268" s="429"/>
      <c r="C268" s="39" t="s">
        <v>1</v>
      </c>
      <c r="D268" s="177">
        <v>45384</v>
      </c>
      <c r="E268" s="217">
        <v>11712</v>
      </c>
      <c r="F268" s="86">
        <f t="shared" si="8"/>
        <v>57096</v>
      </c>
      <c r="G268" s="21"/>
      <c r="H268" s="35"/>
    </row>
    <row r="269" spans="1:8" s="3" customFormat="1" ht="13.5" thickBot="1">
      <c r="A269" s="428"/>
      <c r="B269" s="429"/>
      <c r="C269" s="39" t="s">
        <v>2</v>
      </c>
      <c r="D269" s="177">
        <v>47056.72</v>
      </c>
      <c r="E269" s="217">
        <v>10115.74</v>
      </c>
      <c r="F269" s="86">
        <f t="shared" si="8"/>
        <v>57172.46</v>
      </c>
      <c r="G269" s="21"/>
      <c r="H269" s="35"/>
    </row>
    <row r="270" spans="1:8" s="3" customFormat="1" ht="13.5" thickBot="1">
      <c r="A270" s="428"/>
      <c r="B270" s="429"/>
      <c r="C270" s="39" t="s">
        <v>4</v>
      </c>
      <c r="D270" s="173">
        <f>+D268</f>
        <v>45384</v>
      </c>
      <c r="E270" s="223">
        <f>+E268</f>
        <v>11712</v>
      </c>
      <c r="F270" s="86">
        <f t="shared" si="8"/>
        <v>57096</v>
      </c>
      <c r="G270" s="22"/>
      <c r="H270" s="35"/>
    </row>
    <row r="271" spans="1:8" s="3" customFormat="1" ht="13.5" thickBot="1">
      <c r="A271" s="428"/>
      <c r="B271" s="429"/>
      <c r="C271" s="39" t="s">
        <v>3</v>
      </c>
      <c r="D271" s="173">
        <f>+D269</f>
        <v>47056.72</v>
      </c>
      <c r="E271" s="223">
        <f>+E269</f>
        <v>10115.74</v>
      </c>
      <c r="F271" s="86">
        <f t="shared" si="8"/>
        <v>57172.46</v>
      </c>
      <c r="G271" s="22"/>
      <c r="H271" s="35"/>
    </row>
    <row r="272" spans="1:8" s="3" customFormat="1" ht="13.5" thickBot="1">
      <c r="A272" s="428"/>
      <c r="B272" s="429"/>
      <c r="C272" s="40" t="s">
        <v>199</v>
      </c>
      <c r="D272" s="75">
        <f>D267+D268-D269</f>
        <v>5074.409999999996</v>
      </c>
      <c r="E272" s="76">
        <f>E267+E268-E269</f>
        <v>3222.1499999999996</v>
      </c>
      <c r="F272" s="78">
        <f t="shared" si="8"/>
        <v>8296.559999999996</v>
      </c>
      <c r="G272" s="23"/>
      <c r="H272" s="36"/>
    </row>
    <row r="273" spans="1:8" s="3" customFormat="1" ht="13.5" thickBot="1">
      <c r="A273" s="434" t="s">
        <v>110</v>
      </c>
      <c r="B273" s="429" t="s">
        <v>24</v>
      </c>
      <c r="C273" s="51" t="s">
        <v>175</v>
      </c>
      <c r="D273" s="179">
        <f>-1552.55+3293.54</f>
        <v>1740.99</v>
      </c>
      <c r="E273" s="222">
        <f>-2488.63+1029.59</f>
        <v>-1459.0400000000002</v>
      </c>
      <c r="F273" s="90">
        <f t="shared" si="8"/>
        <v>281.9499999999998</v>
      </c>
      <c r="G273" s="37"/>
      <c r="H273" s="37"/>
    </row>
    <row r="274" spans="1:6" s="3" customFormat="1" ht="13.5" thickBot="1">
      <c r="A274" s="433"/>
      <c r="B274" s="429"/>
      <c r="C274" s="39" t="s">
        <v>1</v>
      </c>
      <c r="D274" s="177">
        <f>1552.55+18360</f>
        <v>19912.55</v>
      </c>
      <c r="E274" s="217">
        <f>2488.63+15120</f>
        <v>17608.63</v>
      </c>
      <c r="F274" s="86">
        <f t="shared" si="8"/>
        <v>37521.18</v>
      </c>
    </row>
    <row r="275" spans="1:6" s="3" customFormat="1" ht="13.5" thickBot="1">
      <c r="A275" s="433"/>
      <c r="B275" s="429"/>
      <c r="C275" s="39" t="s">
        <v>2</v>
      </c>
      <c r="D275" s="177">
        <v>19477.23</v>
      </c>
      <c r="E275" s="217">
        <v>14551.63</v>
      </c>
      <c r="F275" s="86">
        <f t="shared" si="8"/>
        <v>34028.86</v>
      </c>
    </row>
    <row r="276" spans="1:6" s="3" customFormat="1" ht="13.5" thickBot="1">
      <c r="A276" s="433"/>
      <c r="B276" s="429"/>
      <c r="C276" s="39" t="s">
        <v>4</v>
      </c>
      <c r="D276" s="173">
        <f>+D274</f>
        <v>19912.55</v>
      </c>
      <c r="E276" s="223">
        <f>+E274</f>
        <v>17608.63</v>
      </c>
      <c r="F276" s="86">
        <f t="shared" si="8"/>
        <v>37521.18</v>
      </c>
    </row>
    <row r="277" spans="1:6" s="3" customFormat="1" ht="13.5" thickBot="1">
      <c r="A277" s="433"/>
      <c r="B277" s="429"/>
      <c r="C277" s="39" t="s">
        <v>3</v>
      </c>
      <c r="D277" s="173">
        <f>+D275</f>
        <v>19477.23</v>
      </c>
      <c r="E277" s="223">
        <f>+E275</f>
        <v>14551.63</v>
      </c>
      <c r="F277" s="86">
        <f t="shared" si="8"/>
        <v>34028.86</v>
      </c>
    </row>
    <row r="278" spans="1:6" s="3" customFormat="1" ht="13.5" thickBot="1">
      <c r="A278" s="435"/>
      <c r="B278" s="429"/>
      <c r="C278" s="40" t="s">
        <v>199</v>
      </c>
      <c r="D278" s="75">
        <f>D273+D274-D275</f>
        <v>2176.3100000000013</v>
      </c>
      <c r="E278" s="77">
        <f>E273+E274-E275</f>
        <v>1597.960000000001</v>
      </c>
      <c r="F278" s="111">
        <f t="shared" si="8"/>
        <v>3774.2700000000023</v>
      </c>
    </row>
    <row r="279" spans="1:6" s="3" customFormat="1" ht="13.5" customHeight="1" hidden="1">
      <c r="A279" s="428" t="s">
        <v>32</v>
      </c>
      <c r="B279" s="429" t="s">
        <v>19</v>
      </c>
      <c r="C279" s="32" t="s">
        <v>99</v>
      </c>
      <c r="D279" s="86"/>
      <c r="E279" s="88"/>
      <c r="F279" s="86">
        <f t="shared" si="8"/>
        <v>0</v>
      </c>
    </row>
    <row r="280" spans="1:6" s="3" customFormat="1" ht="13.5" customHeight="1" hidden="1" thickBot="1">
      <c r="A280" s="428"/>
      <c r="B280" s="429"/>
      <c r="C280" s="32" t="s">
        <v>1</v>
      </c>
      <c r="D280" s="86"/>
      <c r="E280" s="88"/>
      <c r="F280" s="86">
        <f t="shared" si="8"/>
        <v>0</v>
      </c>
    </row>
    <row r="281" spans="1:6" s="3" customFormat="1" ht="13.5" customHeight="1" hidden="1" thickBot="1">
      <c r="A281" s="428"/>
      <c r="B281" s="429"/>
      <c r="C281" s="32" t="s">
        <v>2</v>
      </c>
      <c r="D281" s="86"/>
      <c r="E281" s="88"/>
      <c r="F281" s="86">
        <f t="shared" si="8"/>
        <v>0</v>
      </c>
    </row>
    <row r="282" spans="1:6" s="3" customFormat="1" ht="13.5" customHeight="1" hidden="1" thickBot="1">
      <c r="A282" s="428"/>
      <c r="B282" s="429"/>
      <c r="C282" s="32" t="s">
        <v>4</v>
      </c>
      <c r="D282" s="112">
        <f>D280</f>
        <v>0</v>
      </c>
      <c r="E282" s="108">
        <f>E280</f>
        <v>0</v>
      </c>
      <c r="F282" s="86">
        <f t="shared" si="8"/>
        <v>0</v>
      </c>
    </row>
    <row r="283" spans="1:6" s="3" customFormat="1" ht="13.5" customHeight="1" hidden="1" thickBot="1">
      <c r="A283" s="428"/>
      <c r="B283" s="429"/>
      <c r="C283" s="32" t="s">
        <v>3</v>
      </c>
      <c r="D283" s="112">
        <f>D280</f>
        <v>0</v>
      </c>
      <c r="E283" s="108">
        <f>E280</f>
        <v>0</v>
      </c>
      <c r="F283" s="86">
        <f t="shared" si="8"/>
        <v>0</v>
      </c>
    </row>
    <row r="284" spans="1:6" s="3" customFormat="1" ht="13.5" customHeight="1" hidden="1" thickBot="1">
      <c r="A284" s="428"/>
      <c r="B284" s="429"/>
      <c r="C284" s="18" t="s">
        <v>101</v>
      </c>
      <c r="D284" s="110">
        <f>D279+D280-D281</f>
        <v>0</v>
      </c>
      <c r="E284" s="109">
        <f>E279+E280-E281</f>
        <v>0</v>
      </c>
      <c r="F284" s="86">
        <f t="shared" si="8"/>
        <v>0</v>
      </c>
    </row>
    <row r="285" spans="1:6" s="3" customFormat="1" ht="13.5" customHeight="1" hidden="1" thickBot="1">
      <c r="A285" s="428" t="s">
        <v>46</v>
      </c>
      <c r="B285" s="429" t="s">
        <v>38</v>
      </c>
      <c r="C285" s="32" t="s">
        <v>99</v>
      </c>
      <c r="D285" s="86"/>
      <c r="E285" s="88"/>
      <c r="F285" s="86">
        <f t="shared" si="8"/>
        <v>0</v>
      </c>
    </row>
    <row r="286" spans="1:6" s="3" customFormat="1" ht="13.5" customHeight="1" hidden="1" thickBot="1">
      <c r="A286" s="428"/>
      <c r="B286" s="429"/>
      <c r="C286" s="32" t="s">
        <v>1</v>
      </c>
      <c r="D286" s="86"/>
      <c r="E286" s="88"/>
      <c r="F286" s="86">
        <f t="shared" si="8"/>
        <v>0</v>
      </c>
    </row>
    <row r="287" spans="1:6" s="3" customFormat="1" ht="13.5" customHeight="1" hidden="1" thickBot="1">
      <c r="A287" s="428"/>
      <c r="B287" s="429"/>
      <c r="C287" s="32" t="s">
        <v>2</v>
      </c>
      <c r="D287" s="86"/>
      <c r="E287" s="88"/>
      <c r="F287" s="86">
        <f t="shared" si="8"/>
        <v>0</v>
      </c>
    </row>
    <row r="288" spans="1:6" s="3" customFormat="1" ht="13.5" customHeight="1" hidden="1" thickBot="1">
      <c r="A288" s="428"/>
      <c r="B288" s="429"/>
      <c r="C288" s="32" t="s">
        <v>4</v>
      </c>
      <c r="D288" s="86"/>
      <c r="E288" s="88"/>
      <c r="F288" s="86">
        <f t="shared" si="8"/>
        <v>0</v>
      </c>
    </row>
    <row r="289" spans="1:6" s="3" customFormat="1" ht="13.5" customHeight="1" hidden="1" thickBot="1">
      <c r="A289" s="428"/>
      <c r="B289" s="429"/>
      <c r="C289" s="32" t="s">
        <v>3</v>
      </c>
      <c r="D289" s="110"/>
      <c r="E289" s="109"/>
      <c r="F289" s="86">
        <f t="shared" si="8"/>
        <v>0</v>
      </c>
    </row>
    <row r="290" spans="1:6" s="3" customFormat="1" ht="13.5" customHeight="1" hidden="1" thickBot="1">
      <c r="A290" s="428"/>
      <c r="B290" s="429"/>
      <c r="C290" s="18" t="s">
        <v>101</v>
      </c>
      <c r="D290" s="110">
        <f>D285+D286-D287</f>
        <v>0</v>
      </c>
      <c r="E290" s="109">
        <f>E285+E286-E287</f>
        <v>0</v>
      </c>
      <c r="F290" s="86">
        <f t="shared" si="8"/>
        <v>0</v>
      </c>
    </row>
    <row r="291" spans="1:6" s="3" customFormat="1" ht="13.5" customHeight="1" hidden="1" thickBot="1">
      <c r="A291" s="428" t="s">
        <v>79</v>
      </c>
      <c r="B291" s="429" t="s">
        <v>38</v>
      </c>
      <c r="C291" s="32" t="s">
        <v>99</v>
      </c>
      <c r="D291" s="86">
        <f>-931.98-61.66</f>
        <v>-993.64</v>
      </c>
      <c r="E291" s="88">
        <f>-931.98-61.66</f>
        <v>-993.64</v>
      </c>
      <c r="F291" s="86">
        <f t="shared" si="8"/>
        <v>-1987.28</v>
      </c>
    </row>
    <row r="292" spans="1:6" s="3" customFormat="1" ht="13.5" customHeight="1" hidden="1" thickBot="1">
      <c r="A292" s="428"/>
      <c r="B292" s="429"/>
      <c r="C292" s="32" t="s">
        <v>1</v>
      </c>
      <c r="D292" s="86">
        <v>0</v>
      </c>
      <c r="E292" s="88">
        <v>0</v>
      </c>
      <c r="F292" s="86">
        <f t="shared" si="8"/>
        <v>0</v>
      </c>
    </row>
    <row r="293" spans="1:6" s="3" customFormat="1" ht="13.5" customHeight="1" hidden="1" thickBot="1">
      <c r="A293" s="428"/>
      <c r="B293" s="429"/>
      <c r="C293" s="32" t="s">
        <v>2</v>
      </c>
      <c r="D293" s="86">
        <v>0</v>
      </c>
      <c r="E293" s="88">
        <v>0</v>
      </c>
      <c r="F293" s="86">
        <f t="shared" si="8"/>
        <v>0</v>
      </c>
    </row>
    <row r="294" spans="1:6" s="3" customFormat="1" ht="12.75" customHeight="1" hidden="1">
      <c r="A294" s="428"/>
      <c r="B294" s="429"/>
      <c r="C294" s="32" t="s">
        <v>4</v>
      </c>
      <c r="D294" s="112">
        <f>D292</f>
        <v>0</v>
      </c>
      <c r="E294" s="108">
        <f>E292</f>
        <v>0</v>
      </c>
      <c r="F294" s="86">
        <f t="shared" si="8"/>
        <v>0</v>
      </c>
    </row>
    <row r="295" spans="1:6" s="3" customFormat="1" ht="13.5" customHeight="1" hidden="1" thickBot="1">
      <c r="A295" s="428"/>
      <c r="B295" s="429"/>
      <c r="C295" s="32" t="s">
        <v>3</v>
      </c>
      <c r="D295" s="112">
        <f>D292</f>
        <v>0</v>
      </c>
      <c r="E295" s="108">
        <f>E292</f>
        <v>0</v>
      </c>
      <c r="F295" s="86">
        <f t="shared" si="8"/>
        <v>0</v>
      </c>
    </row>
    <row r="296" spans="1:6" s="3" customFormat="1" ht="13.5" customHeight="1" hidden="1" thickBot="1">
      <c r="A296" s="428"/>
      <c r="B296" s="429"/>
      <c r="C296" s="18" t="s">
        <v>101</v>
      </c>
      <c r="D296" s="110">
        <f>D291+D292-D293</f>
        <v>-993.64</v>
      </c>
      <c r="E296" s="109">
        <f>E291+E292-E293</f>
        <v>-993.64</v>
      </c>
      <c r="F296" s="86">
        <f t="shared" si="8"/>
        <v>-1987.28</v>
      </c>
    </row>
    <row r="297" spans="1:6" s="24" customFormat="1" ht="13.5" customHeight="1" hidden="1" thickBot="1">
      <c r="A297" s="428" t="s">
        <v>25</v>
      </c>
      <c r="B297" s="429" t="s">
        <v>26</v>
      </c>
      <c r="C297" s="32" t="s">
        <v>99</v>
      </c>
      <c r="D297" s="112"/>
      <c r="E297" s="108"/>
      <c r="F297" s="86">
        <f t="shared" si="8"/>
        <v>0</v>
      </c>
    </row>
    <row r="298" spans="1:6" s="24" customFormat="1" ht="13.5" customHeight="1" hidden="1" thickBot="1">
      <c r="A298" s="428"/>
      <c r="B298" s="429"/>
      <c r="C298" s="32" t="s">
        <v>1</v>
      </c>
      <c r="D298" s="112"/>
      <c r="E298" s="108"/>
      <c r="F298" s="86">
        <f t="shared" si="8"/>
        <v>0</v>
      </c>
    </row>
    <row r="299" spans="1:6" s="24" customFormat="1" ht="13.5" customHeight="1" hidden="1" thickBot="1">
      <c r="A299" s="428"/>
      <c r="B299" s="429"/>
      <c r="C299" s="32" t="s">
        <v>2</v>
      </c>
      <c r="D299" s="112"/>
      <c r="E299" s="108"/>
      <c r="F299" s="86">
        <f t="shared" si="8"/>
        <v>0</v>
      </c>
    </row>
    <row r="300" spans="1:6" s="24" customFormat="1" ht="13.5" customHeight="1" hidden="1" thickBot="1">
      <c r="A300" s="428"/>
      <c r="B300" s="429"/>
      <c r="C300" s="32" t="s">
        <v>4</v>
      </c>
      <c r="D300" s="112">
        <f>D298</f>
        <v>0</v>
      </c>
      <c r="E300" s="108">
        <f>E298</f>
        <v>0</v>
      </c>
      <c r="F300" s="86">
        <f t="shared" si="8"/>
        <v>0</v>
      </c>
    </row>
    <row r="301" spans="1:6" s="24" customFormat="1" ht="13.5" customHeight="1" hidden="1" thickBot="1">
      <c r="A301" s="428"/>
      <c r="B301" s="429"/>
      <c r="C301" s="32" t="s">
        <v>3</v>
      </c>
      <c r="D301" s="112">
        <f>D298</f>
        <v>0</v>
      </c>
      <c r="E301" s="108">
        <f>E298</f>
        <v>0</v>
      </c>
      <c r="F301" s="86">
        <f t="shared" si="8"/>
        <v>0</v>
      </c>
    </row>
    <row r="302" spans="1:6" s="3" customFormat="1" ht="13.5" customHeight="1" hidden="1" thickBot="1">
      <c r="A302" s="428"/>
      <c r="B302" s="429"/>
      <c r="C302" s="18" t="s">
        <v>101</v>
      </c>
      <c r="D302" s="110">
        <f>D297+D298-D299</f>
        <v>0</v>
      </c>
      <c r="E302" s="109">
        <f>E297+E298-E299</f>
        <v>0</v>
      </c>
      <c r="F302" s="86">
        <f t="shared" si="8"/>
        <v>0</v>
      </c>
    </row>
    <row r="303" spans="1:6" s="3" customFormat="1" ht="13.5" customHeight="1" hidden="1" thickBot="1">
      <c r="A303" s="428" t="s">
        <v>35</v>
      </c>
      <c r="B303" s="429" t="s">
        <v>55</v>
      </c>
      <c r="C303" s="32" t="s">
        <v>99</v>
      </c>
      <c r="D303" s="86"/>
      <c r="E303" s="88"/>
      <c r="F303" s="86">
        <f t="shared" si="8"/>
        <v>0</v>
      </c>
    </row>
    <row r="304" spans="1:6" s="3" customFormat="1" ht="13.5" customHeight="1" hidden="1" thickBot="1">
      <c r="A304" s="428"/>
      <c r="B304" s="429"/>
      <c r="C304" s="32" t="s">
        <v>1</v>
      </c>
      <c r="D304" s="86"/>
      <c r="E304" s="88"/>
      <c r="F304" s="86">
        <f t="shared" si="8"/>
        <v>0</v>
      </c>
    </row>
    <row r="305" spans="1:6" s="3" customFormat="1" ht="13.5" customHeight="1" hidden="1" thickBot="1">
      <c r="A305" s="428"/>
      <c r="B305" s="429"/>
      <c r="C305" s="32" t="s">
        <v>2</v>
      </c>
      <c r="D305" s="86"/>
      <c r="E305" s="88"/>
      <c r="F305" s="86">
        <f t="shared" si="8"/>
        <v>0</v>
      </c>
    </row>
    <row r="306" spans="1:6" s="3" customFormat="1" ht="13.5" customHeight="1" hidden="1" thickBot="1">
      <c r="A306" s="428"/>
      <c r="B306" s="429"/>
      <c r="C306" s="32" t="s">
        <v>4</v>
      </c>
      <c r="D306" s="112">
        <f>D304</f>
        <v>0</v>
      </c>
      <c r="E306" s="108">
        <f>E304</f>
        <v>0</v>
      </c>
      <c r="F306" s="86">
        <f aca="true" t="shared" si="10" ref="F306:F340">SUM(D306:E306)</f>
        <v>0</v>
      </c>
    </row>
    <row r="307" spans="1:6" s="3" customFormat="1" ht="13.5" customHeight="1" hidden="1" thickBot="1">
      <c r="A307" s="428"/>
      <c r="B307" s="429"/>
      <c r="C307" s="32" t="s">
        <v>3</v>
      </c>
      <c r="D307" s="112">
        <f>D304</f>
        <v>0</v>
      </c>
      <c r="E307" s="108">
        <f>E304</f>
        <v>0</v>
      </c>
      <c r="F307" s="86">
        <f t="shared" si="10"/>
        <v>0</v>
      </c>
    </row>
    <row r="308" spans="1:6" s="3" customFormat="1" ht="13.5" customHeight="1" hidden="1" thickBot="1">
      <c r="A308" s="428"/>
      <c r="B308" s="429"/>
      <c r="C308" s="18" t="s">
        <v>101</v>
      </c>
      <c r="D308" s="110">
        <f>D303+D304-D305</f>
        <v>0</v>
      </c>
      <c r="E308" s="109">
        <f>E303+E304-E305</f>
        <v>0</v>
      </c>
      <c r="F308" s="86">
        <f t="shared" si="10"/>
        <v>0</v>
      </c>
    </row>
    <row r="309" spans="1:6" s="3" customFormat="1" ht="13.5" customHeight="1" hidden="1" thickBot="1">
      <c r="A309" s="428" t="s">
        <v>35</v>
      </c>
      <c r="B309" s="429" t="s">
        <v>24</v>
      </c>
      <c r="C309" s="32" t="s">
        <v>99</v>
      </c>
      <c r="D309" s="86"/>
      <c r="E309" s="88"/>
      <c r="F309" s="86">
        <f t="shared" si="10"/>
        <v>0</v>
      </c>
    </row>
    <row r="310" spans="1:6" s="3" customFormat="1" ht="13.5" customHeight="1" hidden="1" thickBot="1">
      <c r="A310" s="428"/>
      <c r="B310" s="429"/>
      <c r="C310" s="32" t="s">
        <v>1</v>
      </c>
      <c r="D310" s="86"/>
      <c r="E310" s="88"/>
      <c r="F310" s="86">
        <f t="shared" si="10"/>
        <v>0</v>
      </c>
    </row>
    <row r="311" spans="1:6" s="3" customFormat="1" ht="13.5" customHeight="1" hidden="1" thickBot="1">
      <c r="A311" s="428"/>
      <c r="B311" s="429"/>
      <c r="C311" s="32" t="s">
        <v>2</v>
      </c>
      <c r="D311" s="86"/>
      <c r="E311" s="88"/>
      <c r="F311" s="86">
        <f t="shared" si="10"/>
        <v>0</v>
      </c>
    </row>
    <row r="312" spans="1:6" s="3" customFormat="1" ht="13.5" customHeight="1" hidden="1" thickBot="1">
      <c r="A312" s="428"/>
      <c r="B312" s="429"/>
      <c r="C312" s="32" t="s">
        <v>4</v>
      </c>
      <c r="D312" s="112">
        <f>D316</f>
        <v>0</v>
      </c>
      <c r="E312" s="108">
        <f>E316</f>
        <v>0</v>
      </c>
      <c r="F312" s="86">
        <f t="shared" si="10"/>
        <v>0</v>
      </c>
    </row>
    <row r="313" spans="1:6" s="3" customFormat="1" ht="13.5" customHeight="1" hidden="1" thickBot="1">
      <c r="A313" s="428"/>
      <c r="B313" s="429"/>
      <c r="C313" s="32" t="s">
        <v>3</v>
      </c>
      <c r="D313" s="112">
        <f>D316</f>
        <v>0</v>
      </c>
      <c r="E313" s="108">
        <f>E316</f>
        <v>0</v>
      </c>
      <c r="F313" s="86">
        <f t="shared" si="10"/>
        <v>0</v>
      </c>
    </row>
    <row r="314" spans="1:6" s="3" customFormat="1" ht="13.5" customHeight="1" hidden="1" thickBot="1">
      <c r="A314" s="428"/>
      <c r="B314" s="429"/>
      <c r="C314" s="18" t="s">
        <v>101</v>
      </c>
      <c r="D314" s="110">
        <f>D309+D310-D311</f>
        <v>0</v>
      </c>
      <c r="E314" s="109">
        <f>E309+E310-E311</f>
        <v>0</v>
      </c>
      <c r="F314" s="86">
        <f t="shared" si="10"/>
        <v>0</v>
      </c>
    </row>
    <row r="315" spans="1:6" s="3" customFormat="1" ht="13.5" customHeight="1" hidden="1" thickBot="1">
      <c r="A315" s="428" t="s">
        <v>35</v>
      </c>
      <c r="B315" s="429" t="s">
        <v>44</v>
      </c>
      <c r="C315" s="32" t="s">
        <v>99</v>
      </c>
      <c r="D315" s="86"/>
      <c r="E315" s="88"/>
      <c r="F315" s="86">
        <f t="shared" si="10"/>
        <v>0</v>
      </c>
    </row>
    <row r="316" spans="1:6" s="3" customFormat="1" ht="13.5" customHeight="1" hidden="1" thickBot="1">
      <c r="A316" s="428"/>
      <c r="B316" s="429"/>
      <c r="C316" s="32" t="s">
        <v>1</v>
      </c>
      <c r="D316" s="86"/>
      <c r="E316" s="88"/>
      <c r="F316" s="86">
        <f t="shared" si="10"/>
        <v>0</v>
      </c>
    </row>
    <row r="317" spans="1:6" s="3" customFormat="1" ht="13.5" customHeight="1" hidden="1" thickBot="1">
      <c r="A317" s="428"/>
      <c r="B317" s="429"/>
      <c r="C317" s="32" t="s">
        <v>2</v>
      </c>
      <c r="D317" s="86"/>
      <c r="E317" s="88"/>
      <c r="F317" s="86">
        <f t="shared" si="10"/>
        <v>0</v>
      </c>
    </row>
    <row r="318" spans="1:6" s="3" customFormat="1" ht="13.5" customHeight="1" hidden="1" thickBot="1">
      <c r="A318" s="428"/>
      <c r="B318" s="429"/>
      <c r="C318" s="32" t="s">
        <v>4</v>
      </c>
      <c r="D318" s="112">
        <f>D316</f>
        <v>0</v>
      </c>
      <c r="E318" s="108">
        <f>E316</f>
        <v>0</v>
      </c>
      <c r="F318" s="86">
        <f t="shared" si="10"/>
        <v>0</v>
      </c>
    </row>
    <row r="319" spans="1:6" s="3" customFormat="1" ht="13.5" customHeight="1" hidden="1" thickBot="1">
      <c r="A319" s="428"/>
      <c r="B319" s="429"/>
      <c r="C319" s="32" t="s">
        <v>3</v>
      </c>
      <c r="D319" s="112">
        <f>D316</f>
        <v>0</v>
      </c>
      <c r="E319" s="108">
        <f>E316</f>
        <v>0</v>
      </c>
      <c r="F319" s="86">
        <f t="shared" si="10"/>
        <v>0</v>
      </c>
    </row>
    <row r="320" spans="1:6" s="3" customFormat="1" ht="13.5" customHeight="1" hidden="1" thickBot="1">
      <c r="A320" s="428"/>
      <c r="B320" s="429"/>
      <c r="C320" s="18" t="s">
        <v>101</v>
      </c>
      <c r="D320" s="114">
        <f>D315+D316-D317</f>
        <v>0</v>
      </c>
      <c r="E320" s="113">
        <f>E315+E316-E317</f>
        <v>0</v>
      </c>
      <c r="F320" s="89">
        <f t="shared" si="10"/>
        <v>0</v>
      </c>
    </row>
    <row r="321" spans="1:8" s="3" customFormat="1" ht="13.5" thickBot="1">
      <c r="A321" s="434" t="s">
        <v>177</v>
      </c>
      <c r="B321" s="429" t="s">
        <v>27</v>
      </c>
      <c r="C321" s="51" t="s">
        <v>175</v>
      </c>
      <c r="D321" s="179"/>
      <c r="E321" s="222">
        <v>3870.31</v>
      </c>
      <c r="F321" s="90">
        <f t="shared" si="10"/>
        <v>3870.31</v>
      </c>
      <c r="G321" s="37"/>
      <c r="H321" s="37"/>
    </row>
    <row r="322" spans="1:6" s="3" customFormat="1" ht="13.5" thickBot="1">
      <c r="A322" s="433"/>
      <c r="B322" s="429"/>
      <c r="C322" s="39" t="s">
        <v>1</v>
      </c>
      <c r="D322" s="177"/>
      <c r="E322" s="217">
        <v>34560</v>
      </c>
      <c r="F322" s="86">
        <f t="shared" si="10"/>
        <v>34560</v>
      </c>
    </row>
    <row r="323" spans="1:6" s="3" customFormat="1" ht="13.5" thickBot="1">
      <c r="A323" s="433"/>
      <c r="B323" s="429"/>
      <c r="C323" s="39" t="s">
        <v>2</v>
      </c>
      <c r="D323" s="177"/>
      <c r="E323" s="217">
        <v>33728.2</v>
      </c>
      <c r="F323" s="86">
        <f t="shared" si="10"/>
        <v>33728.2</v>
      </c>
    </row>
    <row r="324" spans="1:6" s="3" customFormat="1" ht="13.5" thickBot="1">
      <c r="A324" s="433"/>
      <c r="B324" s="429"/>
      <c r="C324" s="39" t="s">
        <v>4</v>
      </c>
      <c r="D324" s="173"/>
      <c r="E324" s="223">
        <f>+E322</f>
        <v>34560</v>
      </c>
      <c r="F324" s="86">
        <f t="shared" si="10"/>
        <v>34560</v>
      </c>
    </row>
    <row r="325" spans="1:6" s="3" customFormat="1" ht="13.5" thickBot="1">
      <c r="A325" s="433"/>
      <c r="B325" s="429"/>
      <c r="C325" s="39" t="s">
        <v>3</v>
      </c>
      <c r="D325" s="173"/>
      <c r="E325" s="223">
        <f>+E323</f>
        <v>33728.2</v>
      </c>
      <c r="F325" s="86">
        <f t="shared" si="10"/>
        <v>33728.2</v>
      </c>
    </row>
    <row r="326" spans="1:6" s="3" customFormat="1" ht="13.5" thickBot="1">
      <c r="A326" s="435"/>
      <c r="B326" s="429"/>
      <c r="C326" s="40" t="s">
        <v>199</v>
      </c>
      <c r="D326" s="75">
        <f>D321+D322-D323</f>
        <v>0</v>
      </c>
      <c r="E326" s="76">
        <f>E321+E322-E323</f>
        <v>4702.110000000001</v>
      </c>
      <c r="F326" s="111">
        <f t="shared" si="10"/>
        <v>4702.110000000001</v>
      </c>
    </row>
    <row r="327" spans="1:6" s="3" customFormat="1" ht="15" customHeight="1">
      <c r="A327" s="433" t="s">
        <v>119</v>
      </c>
      <c r="B327" s="430" t="s">
        <v>120</v>
      </c>
      <c r="C327" s="51" t="s">
        <v>175</v>
      </c>
      <c r="D327" s="177">
        <v>12268.25</v>
      </c>
      <c r="E327" s="217">
        <v>9253.79</v>
      </c>
      <c r="F327" s="86">
        <f aca="true" t="shared" si="11" ref="F327:F332">SUM(D327:E327)</f>
        <v>21522.04</v>
      </c>
    </row>
    <row r="328" spans="1:6" s="3" customFormat="1" ht="13.5" customHeight="1">
      <c r="A328" s="433"/>
      <c r="B328" s="431"/>
      <c r="C328" s="39" t="s">
        <v>1</v>
      </c>
      <c r="D328" s="177">
        <v>82800</v>
      </c>
      <c r="E328" s="217">
        <v>75600</v>
      </c>
      <c r="F328" s="86">
        <f t="shared" si="11"/>
        <v>158400</v>
      </c>
    </row>
    <row r="329" spans="1:6" s="3" customFormat="1" ht="13.5" customHeight="1">
      <c r="A329" s="433"/>
      <c r="B329" s="431"/>
      <c r="C329" s="39" t="s">
        <v>2</v>
      </c>
      <c r="D329" s="177">
        <v>86390.37</v>
      </c>
      <c r="E329" s="217">
        <v>71595.7</v>
      </c>
      <c r="F329" s="86">
        <f t="shared" si="11"/>
        <v>157986.07</v>
      </c>
    </row>
    <row r="330" spans="1:6" s="3" customFormat="1" ht="13.5" customHeight="1">
      <c r="A330" s="433"/>
      <c r="B330" s="431"/>
      <c r="C330" s="39" t="s">
        <v>4</v>
      </c>
      <c r="D330" s="173">
        <f>+D328</f>
        <v>82800</v>
      </c>
      <c r="E330" s="223">
        <f>+E328</f>
        <v>75600</v>
      </c>
      <c r="F330" s="86">
        <f t="shared" si="11"/>
        <v>158400</v>
      </c>
    </row>
    <row r="331" spans="1:6" s="3" customFormat="1" ht="13.5" customHeight="1">
      <c r="A331" s="433"/>
      <c r="B331" s="431"/>
      <c r="C331" s="39" t="s">
        <v>3</v>
      </c>
      <c r="D331" s="173">
        <f>+D329</f>
        <v>86390.37</v>
      </c>
      <c r="E331" s="223">
        <f>+E329</f>
        <v>71595.7</v>
      </c>
      <c r="F331" s="86">
        <f t="shared" si="11"/>
        <v>157986.07</v>
      </c>
    </row>
    <row r="332" spans="1:6" s="3" customFormat="1" ht="13.5" customHeight="1" thickBot="1">
      <c r="A332" s="433"/>
      <c r="B332" s="432"/>
      <c r="C332" s="40" t="s">
        <v>199</v>
      </c>
      <c r="D332" s="75">
        <f>D327+D328-D329</f>
        <v>8677.880000000005</v>
      </c>
      <c r="E332" s="76">
        <f>E327+E328-E329</f>
        <v>13258.090000000011</v>
      </c>
      <c r="F332" s="115">
        <f t="shared" si="11"/>
        <v>21935.970000000016</v>
      </c>
    </row>
    <row r="333" spans="1:6" s="24" customFormat="1" ht="12.75">
      <c r="A333" s="393" t="s">
        <v>190</v>
      </c>
      <c r="B333" s="393"/>
      <c r="C333" s="393"/>
      <c r="D333" s="189"/>
      <c r="E333" s="190"/>
      <c r="F333" s="191">
        <f t="shared" si="10"/>
        <v>0</v>
      </c>
    </row>
    <row r="334" spans="1:6" s="24" customFormat="1" ht="13.5" thickBot="1">
      <c r="A334" s="426"/>
      <c r="B334" s="426"/>
      <c r="C334" s="343" t="s">
        <v>175</v>
      </c>
      <c r="D334" s="184">
        <f>D267+D273+D321+D327</f>
        <v>20756.370000000003</v>
      </c>
      <c r="E334" s="184">
        <f>E267+E273+E321+E327</f>
        <v>13290.95</v>
      </c>
      <c r="F334" s="184">
        <f>F267+F273+F321+F327</f>
        <v>34047.32</v>
      </c>
    </row>
    <row r="335" spans="1:6" s="24" customFormat="1" ht="13.5" thickBot="1">
      <c r="A335" s="427"/>
      <c r="B335" s="427"/>
      <c r="C335" s="342" t="s">
        <v>1</v>
      </c>
      <c r="D335" s="184">
        <f aca="true" t="shared" si="12" ref="D335:F339">D268+D274+D322+D328</f>
        <v>148096.55</v>
      </c>
      <c r="E335" s="184">
        <f t="shared" si="12"/>
        <v>139480.63</v>
      </c>
      <c r="F335" s="184">
        <f t="shared" si="12"/>
        <v>287577.18</v>
      </c>
    </row>
    <row r="336" spans="1:7" s="24" customFormat="1" ht="13.5" thickBot="1">
      <c r="A336" s="427"/>
      <c r="B336" s="427"/>
      <c r="C336" s="342" t="s">
        <v>2</v>
      </c>
      <c r="D336" s="184">
        <f t="shared" si="12"/>
        <v>152924.32</v>
      </c>
      <c r="E336" s="184">
        <f t="shared" si="12"/>
        <v>129991.26999999999</v>
      </c>
      <c r="F336" s="184">
        <f t="shared" si="12"/>
        <v>282915.59</v>
      </c>
      <c r="G336" s="28"/>
    </row>
    <row r="337" spans="1:6" s="24" customFormat="1" ht="13.5" thickBot="1">
      <c r="A337" s="427"/>
      <c r="B337" s="427"/>
      <c r="C337" s="342" t="s">
        <v>4</v>
      </c>
      <c r="D337" s="184">
        <f t="shared" si="12"/>
        <v>148096.55</v>
      </c>
      <c r="E337" s="184">
        <f t="shared" si="12"/>
        <v>139480.63</v>
      </c>
      <c r="F337" s="184">
        <f t="shared" si="12"/>
        <v>287577.18</v>
      </c>
    </row>
    <row r="338" spans="1:6" s="24" customFormat="1" ht="13.5" thickBot="1">
      <c r="A338" s="427"/>
      <c r="B338" s="427"/>
      <c r="C338" s="364" t="s">
        <v>3</v>
      </c>
      <c r="D338" s="184">
        <f t="shared" si="12"/>
        <v>152924.32</v>
      </c>
      <c r="E338" s="184">
        <f t="shared" si="12"/>
        <v>129991.26999999999</v>
      </c>
      <c r="F338" s="184">
        <f t="shared" si="12"/>
        <v>282915.59</v>
      </c>
    </row>
    <row r="339" spans="1:6" s="3" customFormat="1" ht="13.5" thickBot="1">
      <c r="A339" s="427"/>
      <c r="B339" s="427"/>
      <c r="C339" s="42" t="s">
        <v>199</v>
      </c>
      <c r="D339" s="186">
        <f t="shared" si="12"/>
        <v>15928.600000000002</v>
      </c>
      <c r="E339" s="186">
        <f t="shared" si="12"/>
        <v>22780.310000000012</v>
      </c>
      <c r="F339" s="186">
        <f t="shared" si="12"/>
        <v>38708.91000000002</v>
      </c>
    </row>
    <row r="340" spans="1:6" s="24" customFormat="1" ht="12.75">
      <c r="A340" s="393" t="s">
        <v>192</v>
      </c>
      <c r="B340" s="393"/>
      <c r="C340" s="393"/>
      <c r="D340" s="189"/>
      <c r="E340" s="190"/>
      <c r="F340" s="191">
        <f t="shared" si="10"/>
        <v>0</v>
      </c>
    </row>
    <row r="341" spans="1:6" s="24" customFormat="1" ht="13.5" thickBot="1">
      <c r="A341" s="426"/>
      <c r="B341" s="426"/>
      <c r="C341" s="347" t="s">
        <v>175</v>
      </c>
      <c r="D341" s="184">
        <f aca="true" t="shared" si="13" ref="D341:F346">D109+D255+D334</f>
        <v>657286.7999999999</v>
      </c>
      <c r="E341" s="184">
        <f t="shared" si="13"/>
        <v>669295.7999999998</v>
      </c>
      <c r="F341" s="184">
        <f t="shared" si="13"/>
        <v>1326582.6</v>
      </c>
    </row>
    <row r="342" spans="1:6" s="24" customFormat="1" ht="13.5" thickBot="1">
      <c r="A342" s="427"/>
      <c r="B342" s="427"/>
      <c r="C342" s="342" t="s">
        <v>1</v>
      </c>
      <c r="D342" s="184">
        <f t="shared" si="13"/>
        <v>4777014.99</v>
      </c>
      <c r="E342" s="184">
        <f t="shared" si="13"/>
        <v>4908993.86</v>
      </c>
      <c r="F342" s="184">
        <f t="shared" si="13"/>
        <v>9686008.850000001</v>
      </c>
    </row>
    <row r="343" spans="1:6" s="24" customFormat="1" ht="13.5" thickBot="1">
      <c r="A343" s="427"/>
      <c r="B343" s="427"/>
      <c r="C343" s="342" t="s">
        <v>2</v>
      </c>
      <c r="D343" s="184">
        <f t="shared" si="13"/>
        <v>4851032.200000001</v>
      </c>
      <c r="E343" s="184">
        <f t="shared" si="13"/>
        <v>4581999.579999999</v>
      </c>
      <c r="F343" s="184">
        <f t="shared" si="13"/>
        <v>9433031.78</v>
      </c>
    </row>
    <row r="344" spans="1:6" s="24" customFormat="1" ht="13.5" thickBot="1">
      <c r="A344" s="427"/>
      <c r="B344" s="427"/>
      <c r="C344" s="342" t="s">
        <v>4</v>
      </c>
      <c r="D344" s="184">
        <f t="shared" si="13"/>
        <v>4855716.3</v>
      </c>
      <c r="E344" s="184">
        <f t="shared" si="13"/>
        <v>4946557.760000001</v>
      </c>
      <c r="F344" s="184">
        <f t="shared" si="13"/>
        <v>9802274.06</v>
      </c>
    </row>
    <row r="345" spans="1:6" s="24" customFormat="1" ht="13.5" thickBot="1">
      <c r="A345" s="427"/>
      <c r="B345" s="427"/>
      <c r="C345" s="342" t="s">
        <v>3</v>
      </c>
      <c r="D345" s="184">
        <f t="shared" si="13"/>
        <v>4851032.200000001</v>
      </c>
      <c r="E345" s="184">
        <f t="shared" si="13"/>
        <v>4581999.579999999</v>
      </c>
      <c r="F345" s="184">
        <f t="shared" si="13"/>
        <v>9433031.78</v>
      </c>
    </row>
    <row r="346" spans="1:6" s="3" customFormat="1" ht="13.5" thickBot="1">
      <c r="A346" s="427"/>
      <c r="B346" s="427"/>
      <c r="C346" s="346" t="s">
        <v>199</v>
      </c>
      <c r="D346" s="185">
        <f t="shared" si="13"/>
        <v>583269.59</v>
      </c>
      <c r="E346" s="185">
        <f t="shared" si="13"/>
        <v>996290.0800000005</v>
      </c>
      <c r="F346" s="185">
        <f t="shared" si="13"/>
        <v>1579559.6700000002</v>
      </c>
    </row>
    <row r="347" ht="12.75">
      <c r="G347" s="210"/>
    </row>
  </sheetData>
  <sheetProtection/>
  <mergeCells count="91">
    <mergeCell ref="B127:B132"/>
    <mergeCell ref="A115:A139"/>
    <mergeCell ref="A140:A157"/>
    <mergeCell ref="B146:B151"/>
    <mergeCell ref="B152:B157"/>
    <mergeCell ref="B188:B193"/>
    <mergeCell ref="B194:B199"/>
    <mergeCell ref="A164:A199"/>
    <mergeCell ref="A1:F1"/>
    <mergeCell ref="A2:F2"/>
    <mergeCell ref="A24:A35"/>
    <mergeCell ref="A3:B5"/>
    <mergeCell ref="B30:B35"/>
    <mergeCell ref="C3:C4"/>
    <mergeCell ref="D3:D4"/>
    <mergeCell ref="B24:B29"/>
    <mergeCell ref="E3:E4"/>
    <mergeCell ref="F3:F4"/>
    <mergeCell ref="A60:A83"/>
    <mergeCell ref="B60:B65"/>
    <mergeCell ref="B66:B71"/>
    <mergeCell ref="B72:B77"/>
    <mergeCell ref="B78:B83"/>
    <mergeCell ref="A108:C108"/>
    <mergeCell ref="B54:B59"/>
    <mergeCell ref="A6:A23"/>
    <mergeCell ref="B6:B11"/>
    <mergeCell ref="B18:B23"/>
    <mergeCell ref="B36:B41"/>
    <mergeCell ref="B42:B47"/>
    <mergeCell ref="B48:B53"/>
    <mergeCell ref="B12:B17"/>
    <mergeCell ref="A36:A59"/>
    <mergeCell ref="A84:A107"/>
    <mergeCell ref="B84:B89"/>
    <mergeCell ref="B90:B95"/>
    <mergeCell ref="B96:B101"/>
    <mergeCell ref="B102:B107"/>
    <mergeCell ref="B140:B145"/>
    <mergeCell ref="B158:B163"/>
    <mergeCell ref="A109:B114"/>
    <mergeCell ref="B115:B120"/>
    <mergeCell ref="B121:B126"/>
    <mergeCell ref="B182:B187"/>
    <mergeCell ref="B224:B229"/>
    <mergeCell ref="B212:B217"/>
    <mergeCell ref="B164:B169"/>
    <mergeCell ref="B170:B175"/>
    <mergeCell ref="B176:B181"/>
    <mergeCell ref="A200:A205"/>
    <mergeCell ref="B200:B205"/>
    <mergeCell ref="A206:A211"/>
    <mergeCell ref="B206:B211"/>
    <mergeCell ref="A212:A223"/>
    <mergeCell ref="B248:B253"/>
    <mergeCell ref="A254:C254"/>
    <mergeCell ref="A255:B260"/>
    <mergeCell ref="B230:B235"/>
    <mergeCell ref="B236:B241"/>
    <mergeCell ref="A242:A247"/>
    <mergeCell ref="B242:B247"/>
    <mergeCell ref="A248:A253"/>
    <mergeCell ref="B218:B223"/>
    <mergeCell ref="A279:A284"/>
    <mergeCell ref="B279:B284"/>
    <mergeCell ref="A285:A290"/>
    <mergeCell ref="B285:B290"/>
    <mergeCell ref="A261:A266"/>
    <mergeCell ref="B261:B266"/>
    <mergeCell ref="A267:A272"/>
    <mergeCell ref="B267:B272"/>
    <mergeCell ref="A273:A278"/>
    <mergeCell ref="B273:B278"/>
    <mergeCell ref="A341:B346"/>
    <mergeCell ref="A309:A314"/>
    <mergeCell ref="A321:A326"/>
    <mergeCell ref="B321:B326"/>
    <mergeCell ref="A303:A308"/>
    <mergeCell ref="B303:B308"/>
    <mergeCell ref="B309:B314"/>
    <mergeCell ref="A315:A320"/>
    <mergeCell ref="A334:B339"/>
    <mergeCell ref="A340:C340"/>
    <mergeCell ref="A291:A296"/>
    <mergeCell ref="B291:B296"/>
    <mergeCell ref="A297:A302"/>
    <mergeCell ref="B297:B302"/>
    <mergeCell ref="B315:B320"/>
    <mergeCell ref="B327:B332"/>
    <mergeCell ref="A327:A332"/>
    <mergeCell ref="A333:C3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2"/>
  <sheetViews>
    <sheetView zoomScalePageLayoutView="0" workbookViewId="0" topLeftCell="A1">
      <pane xSplit="3" ySplit="5" topLeftCell="D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" sqref="M5"/>
    </sheetView>
  </sheetViews>
  <sheetFormatPr defaultColWidth="9.00390625" defaultRowHeight="12.75"/>
  <cols>
    <col min="1" max="1" width="6.625" style="7" customWidth="1"/>
    <col min="2" max="2" width="8.875" style="7" customWidth="1"/>
    <col min="3" max="3" width="22.875" style="27" customWidth="1"/>
    <col min="4" max="4" width="12.125" style="27" customWidth="1"/>
    <col min="5" max="5" width="12.75390625" style="27" customWidth="1"/>
    <col min="6" max="6" width="12.375" style="27" customWidth="1"/>
    <col min="7" max="7" width="11.625" style="27" customWidth="1"/>
    <col min="8" max="8" width="12.25390625" style="27" customWidth="1"/>
    <col min="9" max="9" width="12.125" style="27" customWidth="1"/>
    <col min="10" max="10" width="11.75390625" style="27" customWidth="1"/>
    <col min="11" max="11" width="12.125" style="27" customWidth="1"/>
    <col min="12" max="12" width="11.875" style="27" customWidth="1"/>
    <col min="13" max="13" width="13.00390625" style="4" customWidth="1"/>
    <col min="14" max="16384" width="9.125" style="27" customWidth="1"/>
  </cols>
  <sheetData>
    <row r="1" spans="1:13" s="10" customFormat="1" ht="15.75">
      <c r="A1" s="425" t="s">
        <v>198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3" s="10" customFormat="1" ht="16.5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9"/>
    </row>
    <row r="3" spans="1:13" s="24" customFormat="1" ht="12.75" customHeight="1" thickBot="1">
      <c r="A3" s="443" t="s">
        <v>191</v>
      </c>
      <c r="B3" s="443"/>
      <c r="C3" s="413" t="s">
        <v>178</v>
      </c>
      <c r="D3" s="461" t="s">
        <v>0</v>
      </c>
      <c r="E3" s="461"/>
      <c r="F3" s="461"/>
      <c r="G3" s="461"/>
      <c r="H3" s="461"/>
      <c r="I3" s="461"/>
      <c r="J3" s="461"/>
      <c r="K3" s="461"/>
      <c r="L3" s="461"/>
      <c r="M3" s="459" t="s">
        <v>48</v>
      </c>
    </row>
    <row r="4" spans="1:13" s="25" customFormat="1" ht="30.75" customHeight="1" thickBot="1">
      <c r="A4" s="443"/>
      <c r="B4" s="443"/>
      <c r="C4" s="414"/>
      <c r="D4" s="328" t="s">
        <v>50</v>
      </c>
      <c r="E4" s="328" t="s">
        <v>51</v>
      </c>
      <c r="F4" s="328" t="s">
        <v>52</v>
      </c>
      <c r="G4" s="328" t="s">
        <v>126</v>
      </c>
      <c r="H4" s="328" t="s">
        <v>127</v>
      </c>
      <c r="I4" s="328" t="s">
        <v>128</v>
      </c>
      <c r="J4" s="328" t="s">
        <v>129</v>
      </c>
      <c r="K4" s="328" t="s">
        <v>130</v>
      </c>
      <c r="L4" s="328" t="s">
        <v>131</v>
      </c>
      <c r="M4" s="459"/>
    </row>
    <row r="5" spans="1:13" s="24" customFormat="1" ht="13.5" customHeight="1" thickBot="1">
      <c r="A5" s="443"/>
      <c r="B5" s="443"/>
      <c r="C5" s="6" t="s">
        <v>9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8">
        <v>10</v>
      </c>
    </row>
    <row r="6" spans="1:13" s="24" customFormat="1" ht="13.5" thickBot="1">
      <c r="A6" s="434" t="s">
        <v>5</v>
      </c>
      <c r="B6" s="429" t="s">
        <v>6</v>
      </c>
      <c r="C6" s="49" t="s">
        <v>175</v>
      </c>
      <c r="D6" s="214">
        <v>19040.02</v>
      </c>
      <c r="E6" s="214">
        <v>51624.57</v>
      </c>
      <c r="F6" s="214">
        <v>78230.82</v>
      </c>
      <c r="G6" s="214">
        <v>35742.9</v>
      </c>
      <c r="H6" s="214">
        <v>33921.69</v>
      </c>
      <c r="I6" s="214">
        <v>34696.88</v>
      </c>
      <c r="J6" s="214">
        <v>51481.26</v>
      </c>
      <c r="K6" s="214">
        <v>99059.96</v>
      </c>
      <c r="L6" s="214">
        <v>19043.76</v>
      </c>
      <c r="M6" s="334">
        <f aca="true" t="shared" si="0" ref="M6:M69">L6+K6+J6+I6+H6+G6+F6+E6+D6</f>
        <v>422841.86000000004</v>
      </c>
    </row>
    <row r="7" spans="1:13" s="24" customFormat="1" ht="13.5" thickBot="1">
      <c r="A7" s="433"/>
      <c r="B7" s="429"/>
      <c r="C7" s="48" t="s">
        <v>1</v>
      </c>
      <c r="D7" s="173">
        <v>50204.19</v>
      </c>
      <c r="E7" s="173">
        <v>146318.94</v>
      </c>
      <c r="F7" s="173">
        <v>75440.41</v>
      </c>
      <c r="G7" s="173">
        <v>91408.46</v>
      </c>
      <c r="H7" s="173">
        <v>112318.08</v>
      </c>
      <c r="I7" s="173">
        <v>114740.6</v>
      </c>
      <c r="J7" s="173">
        <v>69540.02</v>
      </c>
      <c r="K7" s="173">
        <v>225858.44</v>
      </c>
      <c r="L7" s="173">
        <v>97442.41</v>
      </c>
      <c r="M7" s="335">
        <f t="shared" si="0"/>
        <v>983271.5499999998</v>
      </c>
    </row>
    <row r="8" spans="1:13" s="24" customFormat="1" ht="13.5" thickBot="1">
      <c r="A8" s="433"/>
      <c r="B8" s="429"/>
      <c r="C8" s="50" t="s">
        <v>2</v>
      </c>
      <c r="D8" s="173">
        <v>40949.98</v>
      </c>
      <c r="E8" s="173">
        <v>101073.95</v>
      </c>
      <c r="F8" s="173">
        <v>59823.1</v>
      </c>
      <c r="G8" s="173">
        <v>70170.56</v>
      </c>
      <c r="H8" s="173">
        <v>130108.53</v>
      </c>
      <c r="I8" s="173">
        <v>83443.64</v>
      </c>
      <c r="J8" s="173">
        <v>58259.12</v>
      </c>
      <c r="K8" s="173">
        <v>191448.05</v>
      </c>
      <c r="L8" s="173">
        <v>87365.76</v>
      </c>
      <c r="M8" s="335">
        <f t="shared" si="0"/>
        <v>822642.6899999998</v>
      </c>
    </row>
    <row r="9" spans="1:13" s="24" customFormat="1" ht="13.5" thickBot="1">
      <c r="A9" s="433"/>
      <c r="B9" s="429"/>
      <c r="C9" s="48" t="s">
        <v>4</v>
      </c>
      <c r="D9" s="173">
        <f>+D7</f>
        <v>50204.19</v>
      </c>
      <c r="E9" s="173">
        <f aca="true" t="shared" si="1" ref="E9:L9">+E7</f>
        <v>146318.94</v>
      </c>
      <c r="F9" s="173">
        <f t="shared" si="1"/>
        <v>75440.41</v>
      </c>
      <c r="G9" s="173">
        <f t="shared" si="1"/>
        <v>91408.46</v>
      </c>
      <c r="H9" s="173">
        <f t="shared" si="1"/>
        <v>112318.08</v>
      </c>
      <c r="I9" s="173">
        <f t="shared" si="1"/>
        <v>114740.6</v>
      </c>
      <c r="J9" s="173">
        <f t="shared" si="1"/>
        <v>69540.02</v>
      </c>
      <c r="K9" s="173">
        <f t="shared" si="1"/>
        <v>225858.44</v>
      </c>
      <c r="L9" s="173">
        <f t="shared" si="1"/>
        <v>97442.41</v>
      </c>
      <c r="M9" s="335">
        <f t="shared" si="0"/>
        <v>983271.5499999998</v>
      </c>
    </row>
    <row r="10" spans="1:13" s="24" customFormat="1" ht="13.5" thickBot="1">
      <c r="A10" s="433"/>
      <c r="B10" s="429"/>
      <c r="C10" s="48" t="s">
        <v>3</v>
      </c>
      <c r="D10" s="173">
        <f>+D8</f>
        <v>40949.98</v>
      </c>
      <c r="E10" s="173">
        <f aca="true" t="shared" si="2" ref="E10:L10">+E8</f>
        <v>101073.95</v>
      </c>
      <c r="F10" s="173">
        <f t="shared" si="2"/>
        <v>59823.1</v>
      </c>
      <c r="G10" s="173">
        <f t="shared" si="2"/>
        <v>70170.56</v>
      </c>
      <c r="H10" s="173">
        <f t="shared" si="2"/>
        <v>130108.53</v>
      </c>
      <c r="I10" s="173">
        <f t="shared" si="2"/>
        <v>83443.64</v>
      </c>
      <c r="J10" s="173">
        <f t="shared" si="2"/>
        <v>58259.12</v>
      </c>
      <c r="K10" s="173">
        <f t="shared" si="2"/>
        <v>191448.05</v>
      </c>
      <c r="L10" s="173">
        <f t="shared" si="2"/>
        <v>87365.76</v>
      </c>
      <c r="M10" s="335">
        <f t="shared" si="0"/>
        <v>822642.6899999998</v>
      </c>
    </row>
    <row r="11" spans="1:13" s="3" customFormat="1" ht="13.5" thickBot="1">
      <c r="A11" s="433"/>
      <c r="B11" s="429"/>
      <c r="C11" s="63" t="s">
        <v>199</v>
      </c>
      <c r="D11" s="75">
        <f>D6+D7-D8</f>
        <v>28294.230000000003</v>
      </c>
      <c r="E11" s="75">
        <f aca="true" t="shared" si="3" ref="E11:L11">E6+E7-E8</f>
        <v>96869.56000000001</v>
      </c>
      <c r="F11" s="75">
        <f t="shared" si="3"/>
        <v>93848.13</v>
      </c>
      <c r="G11" s="75">
        <f t="shared" si="3"/>
        <v>56980.80000000002</v>
      </c>
      <c r="H11" s="75">
        <f t="shared" si="3"/>
        <v>16131.24000000002</v>
      </c>
      <c r="I11" s="75">
        <f t="shared" si="3"/>
        <v>65993.84000000001</v>
      </c>
      <c r="J11" s="75">
        <f t="shared" si="3"/>
        <v>62762.159999999996</v>
      </c>
      <c r="K11" s="75">
        <f t="shared" si="3"/>
        <v>133470.35000000003</v>
      </c>
      <c r="L11" s="75">
        <f t="shared" si="3"/>
        <v>29120.410000000003</v>
      </c>
      <c r="M11" s="336">
        <f t="shared" si="0"/>
        <v>583470.7200000002</v>
      </c>
    </row>
    <row r="12" spans="1:13" s="24" customFormat="1" ht="13.5" thickBot="1">
      <c r="A12" s="433"/>
      <c r="B12" s="429" t="s">
        <v>7</v>
      </c>
      <c r="C12" s="49" t="s">
        <v>175</v>
      </c>
      <c r="D12" s="172">
        <v>18532.8</v>
      </c>
      <c r="E12" s="172">
        <v>45306.16</v>
      </c>
      <c r="F12" s="172">
        <v>75336.29</v>
      </c>
      <c r="G12" s="172">
        <v>32970.3</v>
      </c>
      <c r="H12" s="172">
        <v>28439.5</v>
      </c>
      <c r="I12" s="172">
        <v>25949.38</v>
      </c>
      <c r="J12" s="172">
        <v>42520.43</v>
      </c>
      <c r="K12" s="172">
        <v>87508.73</v>
      </c>
      <c r="L12" s="172">
        <v>14564.62</v>
      </c>
      <c r="M12" s="334">
        <f t="shared" si="0"/>
        <v>371128.21</v>
      </c>
    </row>
    <row r="13" spans="1:13" s="24" customFormat="1" ht="13.5" thickBot="1">
      <c r="A13" s="433"/>
      <c r="B13" s="429"/>
      <c r="C13" s="48" t="s">
        <v>1</v>
      </c>
      <c r="D13" s="173">
        <v>43366.93</v>
      </c>
      <c r="E13" s="173">
        <v>128665.6</v>
      </c>
      <c r="F13" s="173">
        <v>66812.8</v>
      </c>
      <c r="G13" s="173">
        <v>77866.37</v>
      </c>
      <c r="H13" s="173">
        <v>95328.41</v>
      </c>
      <c r="I13" s="173">
        <v>102437.32</v>
      </c>
      <c r="J13" s="173">
        <v>54328.11</v>
      </c>
      <c r="K13" s="173">
        <v>196514.56</v>
      </c>
      <c r="L13" s="173">
        <v>81869.32</v>
      </c>
      <c r="M13" s="335">
        <f t="shared" si="0"/>
        <v>847189.42</v>
      </c>
    </row>
    <row r="14" spans="1:13" s="24" customFormat="1" ht="13.5" thickBot="1">
      <c r="A14" s="433"/>
      <c r="B14" s="429"/>
      <c r="C14" s="50" t="s">
        <v>2</v>
      </c>
      <c r="D14" s="173">
        <v>36503.19</v>
      </c>
      <c r="E14" s="173">
        <v>85430.04</v>
      </c>
      <c r="F14" s="173">
        <v>51526.13</v>
      </c>
      <c r="G14" s="173">
        <v>55674.18</v>
      </c>
      <c r="H14" s="173">
        <v>111300.58</v>
      </c>
      <c r="I14" s="173">
        <v>70475.7</v>
      </c>
      <c r="J14" s="173">
        <v>46518.79</v>
      </c>
      <c r="K14" s="173">
        <v>161796.08</v>
      </c>
      <c r="L14" s="173">
        <v>73381.73</v>
      </c>
      <c r="M14" s="335">
        <f t="shared" si="0"/>
        <v>692606.4199999999</v>
      </c>
    </row>
    <row r="15" spans="1:13" s="24" customFormat="1" ht="13.5" thickBot="1">
      <c r="A15" s="433"/>
      <c r="B15" s="429"/>
      <c r="C15" s="48" t="s">
        <v>4</v>
      </c>
      <c r="D15" s="173">
        <f>+D13</f>
        <v>43366.93</v>
      </c>
      <c r="E15" s="173">
        <f aca="true" t="shared" si="4" ref="E15:L15">+E13</f>
        <v>128665.6</v>
      </c>
      <c r="F15" s="173">
        <f t="shared" si="4"/>
        <v>66812.8</v>
      </c>
      <c r="G15" s="173">
        <f t="shared" si="4"/>
        <v>77866.37</v>
      </c>
      <c r="H15" s="173">
        <f t="shared" si="4"/>
        <v>95328.41</v>
      </c>
      <c r="I15" s="173">
        <f t="shared" si="4"/>
        <v>102437.32</v>
      </c>
      <c r="J15" s="173">
        <f t="shared" si="4"/>
        <v>54328.11</v>
      </c>
      <c r="K15" s="173">
        <f t="shared" si="4"/>
        <v>196514.56</v>
      </c>
      <c r="L15" s="173">
        <f t="shared" si="4"/>
        <v>81869.32</v>
      </c>
      <c r="M15" s="335">
        <f t="shared" si="0"/>
        <v>847189.42</v>
      </c>
    </row>
    <row r="16" spans="1:13" s="24" customFormat="1" ht="13.5" thickBot="1">
      <c r="A16" s="433"/>
      <c r="B16" s="429"/>
      <c r="C16" s="48" t="s">
        <v>3</v>
      </c>
      <c r="D16" s="173">
        <f>+D14</f>
        <v>36503.19</v>
      </c>
      <c r="E16" s="173">
        <f aca="true" t="shared" si="5" ref="E16:L16">+E14</f>
        <v>85430.04</v>
      </c>
      <c r="F16" s="173">
        <f t="shared" si="5"/>
        <v>51526.13</v>
      </c>
      <c r="G16" s="173">
        <f t="shared" si="5"/>
        <v>55674.18</v>
      </c>
      <c r="H16" s="173">
        <f t="shared" si="5"/>
        <v>111300.58</v>
      </c>
      <c r="I16" s="173">
        <f t="shared" si="5"/>
        <v>70475.7</v>
      </c>
      <c r="J16" s="173">
        <f t="shared" si="5"/>
        <v>46518.79</v>
      </c>
      <c r="K16" s="173">
        <f t="shared" si="5"/>
        <v>161796.08</v>
      </c>
      <c r="L16" s="173">
        <f t="shared" si="5"/>
        <v>73381.73</v>
      </c>
      <c r="M16" s="335">
        <f t="shared" si="0"/>
        <v>692606.4199999999</v>
      </c>
    </row>
    <row r="17" spans="1:13" s="3" customFormat="1" ht="13.5" thickBot="1">
      <c r="A17" s="433"/>
      <c r="B17" s="429"/>
      <c r="C17" s="63" t="s">
        <v>199</v>
      </c>
      <c r="D17" s="71">
        <f>D12+D13-D14</f>
        <v>25396.539999999994</v>
      </c>
      <c r="E17" s="71">
        <f aca="true" t="shared" si="6" ref="E17:L17">E12+E13-E14</f>
        <v>88541.72000000002</v>
      </c>
      <c r="F17" s="71">
        <f t="shared" si="6"/>
        <v>90622.95999999999</v>
      </c>
      <c r="G17" s="71">
        <f t="shared" si="6"/>
        <v>55162.49</v>
      </c>
      <c r="H17" s="71">
        <f t="shared" si="6"/>
        <v>12467.330000000002</v>
      </c>
      <c r="I17" s="71">
        <f t="shared" si="6"/>
        <v>57911.000000000015</v>
      </c>
      <c r="J17" s="71">
        <f t="shared" si="6"/>
        <v>50329.75000000001</v>
      </c>
      <c r="K17" s="71">
        <f t="shared" si="6"/>
        <v>122227.20999999999</v>
      </c>
      <c r="L17" s="71">
        <f t="shared" si="6"/>
        <v>23052.210000000006</v>
      </c>
      <c r="M17" s="336">
        <f t="shared" si="0"/>
        <v>525711.21</v>
      </c>
    </row>
    <row r="18" spans="1:13" s="3" customFormat="1" ht="13.5" customHeight="1" hidden="1" thickBot="1">
      <c r="A18" s="457"/>
      <c r="B18" s="429" t="s">
        <v>10</v>
      </c>
      <c r="C18" s="49" t="s">
        <v>156</v>
      </c>
      <c r="D18" s="73"/>
      <c r="E18" s="73"/>
      <c r="F18" s="73"/>
      <c r="G18" s="73"/>
      <c r="H18" s="73"/>
      <c r="I18" s="73"/>
      <c r="J18" s="73"/>
      <c r="K18" s="73"/>
      <c r="L18" s="73"/>
      <c r="M18" s="104">
        <f t="shared" si="0"/>
        <v>0</v>
      </c>
    </row>
    <row r="19" spans="1:13" s="3" customFormat="1" ht="13.5" customHeight="1" hidden="1" thickBot="1">
      <c r="A19" s="457"/>
      <c r="B19" s="429"/>
      <c r="C19" s="48" t="s">
        <v>1</v>
      </c>
      <c r="D19" s="73"/>
      <c r="E19" s="73"/>
      <c r="F19" s="73"/>
      <c r="G19" s="73"/>
      <c r="H19" s="73"/>
      <c r="I19" s="73"/>
      <c r="J19" s="73"/>
      <c r="K19" s="73"/>
      <c r="L19" s="73"/>
      <c r="M19" s="104">
        <f t="shared" si="0"/>
        <v>0</v>
      </c>
    </row>
    <row r="20" spans="1:13" s="3" customFormat="1" ht="13.5" customHeight="1" hidden="1" thickBot="1">
      <c r="A20" s="457"/>
      <c r="B20" s="429"/>
      <c r="C20" s="50" t="s">
        <v>2</v>
      </c>
      <c r="D20" s="73"/>
      <c r="E20" s="73"/>
      <c r="F20" s="73"/>
      <c r="G20" s="73"/>
      <c r="H20" s="73"/>
      <c r="I20" s="73"/>
      <c r="J20" s="73"/>
      <c r="K20" s="73"/>
      <c r="L20" s="73"/>
      <c r="M20" s="104">
        <f t="shared" si="0"/>
        <v>0</v>
      </c>
    </row>
    <row r="21" spans="1:13" s="3" customFormat="1" ht="13.5" customHeight="1" hidden="1" thickBot="1">
      <c r="A21" s="457"/>
      <c r="B21" s="429"/>
      <c r="C21" s="48" t="s">
        <v>4</v>
      </c>
      <c r="D21" s="73"/>
      <c r="E21" s="73"/>
      <c r="F21" s="73"/>
      <c r="G21" s="73"/>
      <c r="H21" s="73"/>
      <c r="I21" s="73"/>
      <c r="J21" s="73"/>
      <c r="K21" s="73"/>
      <c r="L21" s="73"/>
      <c r="M21" s="104">
        <f t="shared" si="0"/>
        <v>0</v>
      </c>
    </row>
    <row r="22" spans="1:13" s="3" customFormat="1" ht="13.5" customHeight="1" hidden="1" thickBot="1">
      <c r="A22" s="457"/>
      <c r="B22" s="429"/>
      <c r="C22" s="48" t="s">
        <v>3</v>
      </c>
      <c r="D22" s="73"/>
      <c r="E22" s="73"/>
      <c r="F22" s="73"/>
      <c r="G22" s="73"/>
      <c r="H22" s="73"/>
      <c r="I22" s="73"/>
      <c r="J22" s="73"/>
      <c r="K22" s="73"/>
      <c r="L22" s="73"/>
      <c r="M22" s="104">
        <f t="shared" si="0"/>
        <v>0</v>
      </c>
    </row>
    <row r="23" spans="1:13" s="3" customFormat="1" ht="13.5" customHeight="1" hidden="1" thickBot="1">
      <c r="A23" s="457"/>
      <c r="B23" s="429"/>
      <c r="C23" s="63" t="s">
        <v>160</v>
      </c>
      <c r="D23" s="67">
        <f aca="true" t="shared" si="7" ref="D23:L23">D18+D19-D20</f>
        <v>0</v>
      </c>
      <c r="E23" s="67">
        <f t="shared" si="7"/>
        <v>0</v>
      </c>
      <c r="F23" s="67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7"/>
      <c r="K23" s="67"/>
      <c r="L23" s="67">
        <f t="shared" si="7"/>
        <v>0</v>
      </c>
      <c r="M23" s="105">
        <f t="shared" si="0"/>
        <v>0</v>
      </c>
    </row>
    <row r="24" spans="1:13" s="3" customFormat="1" ht="13.5" customHeight="1" hidden="1" thickBot="1">
      <c r="A24" s="457"/>
      <c r="B24" s="429" t="s">
        <v>12</v>
      </c>
      <c r="C24" s="49" t="s">
        <v>156</v>
      </c>
      <c r="D24" s="73"/>
      <c r="E24" s="73"/>
      <c r="F24" s="73"/>
      <c r="G24" s="73"/>
      <c r="H24" s="73"/>
      <c r="I24" s="73"/>
      <c r="J24" s="73"/>
      <c r="K24" s="73"/>
      <c r="L24" s="73"/>
      <c r="M24" s="104">
        <f t="shared" si="0"/>
        <v>0</v>
      </c>
    </row>
    <row r="25" spans="1:13" s="3" customFormat="1" ht="13.5" customHeight="1" hidden="1" thickBot="1">
      <c r="A25" s="457"/>
      <c r="B25" s="429"/>
      <c r="C25" s="48" t="s">
        <v>1</v>
      </c>
      <c r="D25" s="73"/>
      <c r="E25" s="73"/>
      <c r="F25" s="73"/>
      <c r="G25" s="73"/>
      <c r="H25" s="73"/>
      <c r="I25" s="73"/>
      <c r="J25" s="73"/>
      <c r="K25" s="73"/>
      <c r="L25" s="73"/>
      <c r="M25" s="104">
        <f t="shared" si="0"/>
        <v>0</v>
      </c>
    </row>
    <row r="26" spans="1:13" s="3" customFormat="1" ht="13.5" customHeight="1" hidden="1" thickBot="1">
      <c r="A26" s="457"/>
      <c r="B26" s="429"/>
      <c r="C26" s="50" t="s">
        <v>2</v>
      </c>
      <c r="D26" s="73"/>
      <c r="E26" s="73"/>
      <c r="F26" s="73"/>
      <c r="G26" s="73"/>
      <c r="H26" s="73"/>
      <c r="I26" s="73"/>
      <c r="J26" s="73"/>
      <c r="K26" s="73"/>
      <c r="L26" s="73"/>
      <c r="M26" s="104">
        <f t="shared" si="0"/>
        <v>0</v>
      </c>
    </row>
    <row r="27" spans="1:13" s="3" customFormat="1" ht="13.5" customHeight="1" hidden="1" thickBot="1">
      <c r="A27" s="457"/>
      <c r="B27" s="429"/>
      <c r="C27" s="48" t="s">
        <v>4</v>
      </c>
      <c r="D27" s="73"/>
      <c r="E27" s="73"/>
      <c r="F27" s="73"/>
      <c r="G27" s="73"/>
      <c r="H27" s="73"/>
      <c r="I27" s="73"/>
      <c r="J27" s="73"/>
      <c r="K27" s="73"/>
      <c r="L27" s="73"/>
      <c r="M27" s="104">
        <f t="shared" si="0"/>
        <v>0</v>
      </c>
    </row>
    <row r="28" spans="1:13" s="3" customFormat="1" ht="13.5" customHeight="1" hidden="1" thickBot="1">
      <c r="A28" s="457"/>
      <c r="B28" s="429"/>
      <c r="C28" s="48" t="s">
        <v>3</v>
      </c>
      <c r="D28" s="73"/>
      <c r="E28" s="73"/>
      <c r="F28" s="73"/>
      <c r="G28" s="73"/>
      <c r="H28" s="73"/>
      <c r="I28" s="73"/>
      <c r="J28" s="73"/>
      <c r="K28" s="73"/>
      <c r="L28" s="73"/>
      <c r="M28" s="104">
        <f t="shared" si="0"/>
        <v>0</v>
      </c>
    </row>
    <row r="29" spans="1:13" s="3" customFormat="1" ht="13.5" customHeight="1" hidden="1" thickBot="1">
      <c r="A29" s="457"/>
      <c r="B29" s="429"/>
      <c r="C29" s="63" t="s">
        <v>160</v>
      </c>
      <c r="D29" s="74">
        <f aca="true" t="shared" si="8" ref="D29:L29">D24+D25-D26</f>
        <v>0</v>
      </c>
      <c r="E29" s="74">
        <f t="shared" si="8"/>
        <v>0</v>
      </c>
      <c r="F29" s="74">
        <f t="shared" si="8"/>
        <v>0</v>
      </c>
      <c r="G29" s="74">
        <f t="shared" si="8"/>
        <v>0</v>
      </c>
      <c r="H29" s="74">
        <f t="shared" si="8"/>
        <v>0</v>
      </c>
      <c r="I29" s="74">
        <f t="shared" si="8"/>
        <v>0</v>
      </c>
      <c r="J29" s="74"/>
      <c r="K29" s="74"/>
      <c r="L29" s="74">
        <f t="shared" si="8"/>
        <v>0</v>
      </c>
      <c r="M29" s="105">
        <f t="shared" si="0"/>
        <v>0</v>
      </c>
    </row>
    <row r="30" spans="1:13" s="3" customFormat="1" ht="13.5" thickBot="1">
      <c r="A30" s="457"/>
      <c r="B30" s="460" t="s">
        <v>122</v>
      </c>
      <c r="C30" s="49" t="s">
        <v>175</v>
      </c>
      <c r="D30" s="173">
        <v>-25.94</v>
      </c>
      <c r="E30" s="173">
        <v>40.49</v>
      </c>
      <c r="F30" s="173">
        <v>195.05</v>
      </c>
      <c r="G30" s="173">
        <v>-31.46</v>
      </c>
      <c r="H30" s="173">
        <v>-22.16</v>
      </c>
      <c r="I30" s="173">
        <v>-23.97</v>
      </c>
      <c r="J30" s="173">
        <v>80.58</v>
      </c>
      <c r="K30" s="173">
        <v>137.54</v>
      </c>
      <c r="L30" s="173">
        <v>-54.91</v>
      </c>
      <c r="M30" s="334">
        <f t="shared" si="0"/>
        <v>295.21999999999997</v>
      </c>
    </row>
    <row r="31" spans="1:13" s="3" customFormat="1" ht="13.5" thickBot="1">
      <c r="A31" s="457"/>
      <c r="B31" s="460"/>
      <c r="C31" s="48" t="s">
        <v>1</v>
      </c>
      <c r="D31" s="173">
        <v>25.95</v>
      </c>
      <c r="E31" s="173">
        <v>-35.83</v>
      </c>
      <c r="F31" s="173">
        <v>-176.06</v>
      </c>
      <c r="G31" s="173">
        <v>34.97</v>
      </c>
      <c r="H31" s="173">
        <v>37.98</v>
      </c>
      <c r="I31" s="173">
        <v>25.04</v>
      </c>
      <c r="J31" s="173">
        <f>-46.15</f>
        <v>-46.15</v>
      </c>
      <c r="K31" s="173">
        <v>-87.26</v>
      </c>
      <c r="L31" s="173">
        <v>55.33</v>
      </c>
      <c r="M31" s="335">
        <f t="shared" si="0"/>
        <v>-166.03000000000003</v>
      </c>
    </row>
    <row r="32" spans="1:13" s="3" customFormat="1" ht="13.5" thickBot="1">
      <c r="A32" s="457"/>
      <c r="B32" s="460"/>
      <c r="C32" s="50" t="s">
        <v>2</v>
      </c>
      <c r="D32" s="173">
        <v>0.01</v>
      </c>
      <c r="E32" s="173">
        <v>4.66</v>
      </c>
      <c r="F32" s="173">
        <v>18.99</v>
      </c>
      <c r="G32" s="173">
        <v>3.51</v>
      </c>
      <c r="H32" s="173">
        <v>15.82</v>
      </c>
      <c r="I32" s="173">
        <v>1.07</v>
      </c>
      <c r="J32" s="173">
        <v>34.43</v>
      </c>
      <c r="K32" s="173">
        <v>50.28</v>
      </c>
      <c r="L32" s="173">
        <v>0.42</v>
      </c>
      <c r="M32" s="335">
        <f t="shared" si="0"/>
        <v>129.18999999999997</v>
      </c>
    </row>
    <row r="33" spans="1:13" s="3" customFormat="1" ht="13.5" thickBot="1">
      <c r="A33" s="457"/>
      <c r="B33" s="460"/>
      <c r="C33" s="48" t="s">
        <v>4</v>
      </c>
      <c r="D33" s="173">
        <f>+D31</f>
        <v>25.95</v>
      </c>
      <c r="E33" s="173">
        <f aca="true" t="shared" si="9" ref="E33:L33">+E31</f>
        <v>-35.83</v>
      </c>
      <c r="F33" s="173">
        <f t="shared" si="9"/>
        <v>-176.06</v>
      </c>
      <c r="G33" s="173">
        <f t="shared" si="9"/>
        <v>34.97</v>
      </c>
      <c r="H33" s="173">
        <f t="shared" si="9"/>
        <v>37.98</v>
      </c>
      <c r="I33" s="173">
        <f t="shared" si="9"/>
        <v>25.04</v>
      </c>
      <c r="J33" s="173">
        <f t="shared" si="9"/>
        <v>-46.15</v>
      </c>
      <c r="K33" s="173">
        <f t="shared" si="9"/>
        <v>-87.26</v>
      </c>
      <c r="L33" s="173">
        <f t="shared" si="9"/>
        <v>55.33</v>
      </c>
      <c r="M33" s="335">
        <f t="shared" si="0"/>
        <v>-166.03000000000003</v>
      </c>
    </row>
    <row r="34" spans="1:13" s="3" customFormat="1" ht="13.5" thickBot="1">
      <c r="A34" s="457"/>
      <c r="B34" s="460"/>
      <c r="C34" s="48" t="s">
        <v>3</v>
      </c>
      <c r="D34" s="173">
        <f>+D32</f>
        <v>0.01</v>
      </c>
      <c r="E34" s="173">
        <f aca="true" t="shared" si="10" ref="E34:L34">+E32</f>
        <v>4.66</v>
      </c>
      <c r="F34" s="173">
        <f t="shared" si="10"/>
        <v>18.99</v>
      </c>
      <c r="G34" s="173">
        <f t="shared" si="10"/>
        <v>3.51</v>
      </c>
      <c r="H34" s="173">
        <f t="shared" si="10"/>
        <v>15.82</v>
      </c>
      <c r="I34" s="173">
        <f t="shared" si="10"/>
        <v>1.07</v>
      </c>
      <c r="J34" s="173">
        <f t="shared" si="10"/>
        <v>34.43</v>
      </c>
      <c r="K34" s="173">
        <f t="shared" si="10"/>
        <v>50.28</v>
      </c>
      <c r="L34" s="173">
        <f t="shared" si="10"/>
        <v>0.42</v>
      </c>
      <c r="M34" s="335">
        <f t="shared" si="0"/>
        <v>129.18999999999997</v>
      </c>
    </row>
    <row r="35" spans="1:13" s="3" customFormat="1" ht="13.5" thickBot="1">
      <c r="A35" s="458"/>
      <c r="B35" s="460"/>
      <c r="C35" s="63" t="s">
        <v>199</v>
      </c>
      <c r="D35" s="75">
        <f>D30+D31-D32</f>
        <v>-1.9897278269453977E-15</v>
      </c>
      <c r="E35" s="75">
        <f aca="true" t="shared" si="11" ref="E35:L35">E30+E31-E32</f>
        <v>0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1.7208456881689926E-15</v>
      </c>
      <c r="M35" s="335">
        <f t="shared" si="0"/>
        <v>-2.688821387764051E-16</v>
      </c>
    </row>
    <row r="36" spans="1:13" s="24" customFormat="1" ht="12.75" customHeight="1" thickBot="1">
      <c r="A36" s="434" t="s">
        <v>11</v>
      </c>
      <c r="B36" s="432" t="s">
        <v>10</v>
      </c>
      <c r="C36" s="49" t="s">
        <v>175</v>
      </c>
      <c r="D36" s="172">
        <v>37119.19</v>
      </c>
      <c r="E36" s="172">
        <v>145952.8</v>
      </c>
      <c r="F36" s="172">
        <v>330685.29</v>
      </c>
      <c r="G36" s="172">
        <v>-8003.35</v>
      </c>
      <c r="H36" s="172">
        <v>106211.29</v>
      </c>
      <c r="I36" s="172">
        <v>79288.11</v>
      </c>
      <c r="J36" s="172">
        <v>173281.91</v>
      </c>
      <c r="K36" s="172">
        <v>336482.01</v>
      </c>
      <c r="L36" s="172">
        <v>33587.32</v>
      </c>
      <c r="M36" s="334">
        <f t="shared" si="0"/>
        <v>1234604.57</v>
      </c>
    </row>
    <row r="37" spans="1:13" s="24" customFormat="1" ht="13.5" thickBot="1">
      <c r="A37" s="433"/>
      <c r="B37" s="429"/>
      <c r="C37" s="48" t="s">
        <v>1</v>
      </c>
      <c r="D37" s="173">
        <v>592271.53</v>
      </c>
      <c r="E37" s="173">
        <v>1143020.52</v>
      </c>
      <c r="F37" s="173">
        <v>808313.64</v>
      </c>
      <c r="G37" s="173">
        <v>626751.5</v>
      </c>
      <c r="H37" s="173">
        <v>1285106.19</v>
      </c>
      <c r="I37" s="173">
        <v>992114.4</v>
      </c>
      <c r="J37" s="173">
        <v>1038935.14</v>
      </c>
      <c r="K37" s="173">
        <v>1252400.92</v>
      </c>
      <c r="L37" s="173">
        <v>759567.06</v>
      </c>
      <c r="M37" s="335">
        <f t="shared" si="0"/>
        <v>8498480.899999999</v>
      </c>
    </row>
    <row r="38" spans="1:13" s="24" customFormat="1" ht="13.5" thickBot="1">
      <c r="A38" s="433"/>
      <c r="B38" s="429"/>
      <c r="C38" s="50" t="s">
        <v>2</v>
      </c>
      <c r="D38" s="173">
        <v>532619.42</v>
      </c>
      <c r="E38" s="173">
        <v>969775.2</v>
      </c>
      <c r="F38" s="173">
        <v>748872.65</v>
      </c>
      <c r="G38" s="173">
        <v>668930.98</v>
      </c>
      <c r="H38" s="173">
        <v>1275431</v>
      </c>
      <c r="I38" s="173">
        <v>850736.89</v>
      </c>
      <c r="J38" s="173">
        <v>1026327.68</v>
      </c>
      <c r="K38" s="173">
        <v>1355074.3</v>
      </c>
      <c r="L38" s="173">
        <v>982222.44</v>
      </c>
      <c r="M38" s="337">
        <f t="shared" si="0"/>
        <v>8409990.560000002</v>
      </c>
    </row>
    <row r="39" spans="1:13" s="24" customFormat="1" ht="13.5" thickBot="1">
      <c r="A39" s="433"/>
      <c r="B39" s="429"/>
      <c r="C39" s="48" t="s">
        <v>4</v>
      </c>
      <c r="D39" s="173">
        <f>+D37</f>
        <v>592271.53</v>
      </c>
      <c r="E39" s="173">
        <f aca="true" t="shared" si="12" ref="E39:L39">+E37</f>
        <v>1143020.52</v>
      </c>
      <c r="F39" s="173">
        <f t="shared" si="12"/>
        <v>808313.64</v>
      </c>
      <c r="G39" s="173">
        <f t="shared" si="12"/>
        <v>626751.5</v>
      </c>
      <c r="H39" s="173">
        <f t="shared" si="12"/>
        <v>1285106.19</v>
      </c>
      <c r="I39" s="173">
        <f t="shared" si="12"/>
        <v>992114.4</v>
      </c>
      <c r="J39" s="173">
        <f t="shared" si="12"/>
        <v>1038935.14</v>
      </c>
      <c r="K39" s="173">
        <f t="shared" si="12"/>
        <v>1252400.92</v>
      </c>
      <c r="L39" s="173">
        <f t="shared" si="12"/>
        <v>759567.06</v>
      </c>
      <c r="M39" s="337">
        <f t="shared" si="0"/>
        <v>8498480.899999999</v>
      </c>
    </row>
    <row r="40" spans="1:13" s="24" customFormat="1" ht="13.5" thickBot="1">
      <c r="A40" s="433"/>
      <c r="B40" s="429"/>
      <c r="C40" s="48" t="s">
        <v>3</v>
      </c>
      <c r="D40" s="173">
        <f>+D38</f>
        <v>532619.42</v>
      </c>
      <c r="E40" s="173">
        <f aca="true" t="shared" si="13" ref="E40:L40">+E38</f>
        <v>969775.2</v>
      </c>
      <c r="F40" s="173">
        <f t="shared" si="13"/>
        <v>748872.65</v>
      </c>
      <c r="G40" s="173">
        <f t="shared" si="13"/>
        <v>668930.98</v>
      </c>
      <c r="H40" s="173">
        <f t="shared" si="13"/>
        <v>1275431</v>
      </c>
      <c r="I40" s="173">
        <f t="shared" si="13"/>
        <v>850736.89</v>
      </c>
      <c r="J40" s="173">
        <f t="shared" si="13"/>
        <v>1026327.68</v>
      </c>
      <c r="K40" s="173">
        <f t="shared" si="13"/>
        <v>1355074.3</v>
      </c>
      <c r="L40" s="173">
        <f t="shared" si="13"/>
        <v>982222.44</v>
      </c>
      <c r="M40" s="337">
        <f t="shared" si="0"/>
        <v>8409990.560000002</v>
      </c>
    </row>
    <row r="41" spans="1:13" s="3" customFormat="1" ht="13.5" thickBot="1">
      <c r="A41" s="433"/>
      <c r="B41" s="429"/>
      <c r="C41" s="63" t="s">
        <v>199</v>
      </c>
      <c r="D41" s="75">
        <f>D36+D37-D38</f>
        <v>96771.29999999993</v>
      </c>
      <c r="E41" s="75">
        <f aca="true" t="shared" si="14" ref="E41:M41">E36+E37-E38</f>
        <v>319198.1200000001</v>
      </c>
      <c r="F41" s="75">
        <f t="shared" si="14"/>
        <v>390126.2799999999</v>
      </c>
      <c r="G41" s="75">
        <f t="shared" si="14"/>
        <v>-50182.82999999996</v>
      </c>
      <c r="H41" s="75">
        <f t="shared" si="14"/>
        <v>115886.47999999998</v>
      </c>
      <c r="I41" s="75">
        <f t="shared" si="14"/>
        <v>220665.62</v>
      </c>
      <c r="J41" s="75">
        <f t="shared" si="14"/>
        <v>185889.37</v>
      </c>
      <c r="K41" s="75">
        <f t="shared" si="14"/>
        <v>233808.6299999999</v>
      </c>
      <c r="L41" s="75">
        <f t="shared" si="14"/>
        <v>-189068.05999999994</v>
      </c>
      <c r="M41" s="75">
        <f t="shared" si="14"/>
        <v>1323094.9099999964</v>
      </c>
    </row>
    <row r="42" spans="1:13" s="24" customFormat="1" ht="13.5" thickBot="1">
      <c r="A42" s="433"/>
      <c r="B42" s="429" t="s">
        <v>12</v>
      </c>
      <c r="C42" s="49" t="s">
        <v>175</v>
      </c>
      <c r="D42" s="172">
        <v>22221.66</v>
      </c>
      <c r="E42" s="172">
        <v>63971.15</v>
      </c>
      <c r="F42" s="172">
        <v>91505.43</v>
      </c>
      <c r="G42" s="172">
        <v>33523.81</v>
      </c>
      <c r="H42" s="172">
        <v>41267.82</v>
      </c>
      <c r="I42" s="172">
        <v>42002.43</v>
      </c>
      <c r="J42" s="172">
        <v>65928.13</v>
      </c>
      <c r="K42" s="172">
        <v>120334.39</v>
      </c>
      <c r="L42" s="172">
        <v>15839.03</v>
      </c>
      <c r="M42" s="337">
        <f t="shared" si="0"/>
        <v>496593.85</v>
      </c>
    </row>
    <row r="43" spans="1:13" s="24" customFormat="1" ht="13.5" thickBot="1">
      <c r="A43" s="433"/>
      <c r="B43" s="429"/>
      <c r="C43" s="48" t="s">
        <v>1</v>
      </c>
      <c r="D43" s="173">
        <v>63245.74</v>
      </c>
      <c r="E43" s="173">
        <v>176335.51</v>
      </c>
      <c r="F43" s="173">
        <v>89752.44</v>
      </c>
      <c r="G43" s="173">
        <v>116873.91</v>
      </c>
      <c r="H43" s="173">
        <v>143456.12</v>
      </c>
      <c r="I43" s="173">
        <v>134434.76</v>
      </c>
      <c r="J43" s="173">
        <v>101101.69</v>
      </c>
      <c r="K43" s="173">
        <v>277617.79</v>
      </c>
      <c r="L43" s="173">
        <v>127640.45</v>
      </c>
      <c r="M43" s="337">
        <f t="shared" si="0"/>
        <v>1230458.41</v>
      </c>
    </row>
    <row r="44" spans="1:13" s="24" customFormat="1" ht="13.5" thickBot="1">
      <c r="A44" s="433"/>
      <c r="B44" s="429"/>
      <c r="C44" s="50" t="s">
        <v>2</v>
      </c>
      <c r="D44" s="173">
        <v>49720.19</v>
      </c>
      <c r="E44" s="173">
        <v>125750.9</v>
      </c>
      <c r="F44" s="173">
        <v>70325.29</v>
      </c>
      <c r="G44" s="173">
        <v>95446.15</v>
      </c>
      <c r="H44" s="173">
        <v>165183.93</v>
      </c>
      <c r="I44" s="173">
        <v>103350.19</v>
      </c>
      <c r="J44" s="173">
        <v>81157.5</v>
      </c>
      <c r="K44" s="173">
        <v>239633.35</v>
      </c>
      <c r="L44" s="173">
        <v>108638.39</v>
      </c>
      <c r="M44" s="337">
        <f t="shared" si="0"/>
        <v>1039205.8899999999</v>
      </c>
    </row>
    <row r="45" spans="1:13" s="24" customFormat="1" ht="13.5" thickBot="1">
      <c r="A45" s="433"/>
      <c r="B45" s="429"/>
      <c r="C45" s="48" t="s">
        <v>4</v>
      </c>
      <c r="D45" s="173">
        <f>+D43</f>
        <v>63245.74</v>
      </c>
      <c r="E45" s="173">
        <f aca="true" t="shared" si="15" ref="E45:L45">+E43</f>
        <v>176335.51</v>
      </c>
      <c r="F45" s="173">
        <f t="shared" si="15"/>
        <v>89752.44</v>
      </c>
      <c r="G45" s="173">
        <f t="shared" si="15"/>
        <v>116873.91</v>
      </c>
      <c r="H45" s="173">
        <f t="shared" si="15"/>
        <v>143456.12</v>
      </c>
      <c r="I45" s="173">
        <f t="shared" si="15"/>
        <v>134434.76</v>
      </c>
      <c r="J45" s="173">
        <f t="shared" si="15"/>
        <v>101101.69</v>
      </c>
      <c r="K45" s="173">
        <f t="shared" si="15"/>
        <v>277617.79</v>
      </c>
      <c r="L45" s="173">
        <f t="shared" si="15"/>
        <v>127640.45</v>
      </c>
      <c r="M45" s="337">
        <f t="shared" si="0"/>
        <v>1230458.41</v>
      </c>
    </row>
    <row r="46" spans="1:13" s="24" customFormat="1" ht="13.5" thickBot="1">
      <c r="A46" s="433"/>
      <c r="B46" s="429"/>
      <c r="C46" s="48" t="s">
        <v>3</v>
      </c>
      <c r="D46" s="173">
        <f>+D44</f>
        <v>49720.19</v>
      </c>
      <c r="E46" s="173">
        <f aca="true" t="shared" si="16" ref="E46:L46">+E44</f>
        <v>125750.9</v>
      </c>
      <c r="F46" s="173">
        <f t="shared" si="16"/>
        <v>70325.29</v>
      </c>
      <c r="G46" s="173">
        <f t="shared" si="16"/>
        <v>95446.15</v>
      </c>
      <c r="H46" s="173">
        <v>171408.96</v>
      </c>
      <c r="I46" s="173">
        <f t="shared" si="16"/>
        <v>103350.19</v>
      </c>
      <c r="J46" s="173">
        <f t="shared" si="16"/>
        <v>81157.5</v>
      </c>
      <c r="K46" s="173">
        <f t="shared" si="16"/>
        <v>239633.35</v>
      </c>
      <c r="L46" s="173">
        <f t="shared" si="16"/>
        <v>108638.39</v>
      </c>
      <c r="M46" s="337">
        <f t="shared" si="0"/>
        <v>1045430.9199999999</v>
      </c>
    </row>
    <row r="47" spans="1:13" s="3" customFormat="1" ht="13.5" thickBot="1">
      <c r="A47" s="433"/>
      <c r="B47" s="429"/>
      <c r="C47" s="63" t="s">
        <v>199</v>
      </c>
      <c r="D47" s="75">
        <f>D42+D43-D44</f>
        <v>35747.20999999999</v>
      </c>
      <c r="E47" s="75">
        <f aca="true" t="shared" si="17" ref="E47:M47">E42+E43-E44</f>
        <v>114555.76000000001</v>
      </c>
      <c r="F47" s="75">
        <f t="shared" si="17"/>
        <v>110932.58</v>
      </c>
      <c r="G47" s="75">
        <f t="shared" si="17"/>
        <v>54951.57000000001</v>
      </c>
      <c r="H47" s="75">
        <f t="shared" si="17"/>
        <v>19540.01000000001</v>
      </c>
      <c r="I47" s="75">
        <f t="shared" si="17"/>
        <v>73087</v>
      </c>
      <c r="J47" s="75">
        <f t="shared" si="17"/>
        <v>85872.32</v>
      </c>
      <c r="K47" s="75">
        <f t="shared" si="17"/>
        <v>158318.83</v>
      </c>
      <c r="L47" s="75">
        <f t="shared" si="17"/>
        <v>34841.09000000001</v>
      </c>
      <c r="M47" s="75">
        <f t="shared" si="17"/>
        <v>687846.3699999999</v>
      </c>
    </row>
    <row r="48" spans="1:13" s="3" customFormat="1" ht="13.5" thickBot="1">
      <c r="A48" s="433"/>
      <c r="B48" s="429" t="s">
        <v>124</v>
      </c>
      <c r="C48" s="49" t="s">
        <v>175</v>
      </c>
      <c r="D48" s="172">
        <v>-40.58</v>
      </c>
      <c r="E48" s="172">
        <v>65.08</v>
      </c>
      <c r="F48" s="172">
        <v>315.03</v>
      </c>
      <c r="G48" s="172">
        <v>-49.29</v>
      </c>
      <c r="H48" s="172">
        <v>-33.08</v>
      </c>
      <c r="I48" s="172">
        <v>-38.42</v>
      </c>
      <c r="J48" s="172">
        <v>129.54</v>
      </c>
      <c r="K48" s="172">
        <v>219.77</v>
      </c>
      <c r="L48" s="172">
        <v>-88.38</v>
      </c>
      <c r="M48" s="337">
        <f t="shared" si="0"/>
        <v>479.67</v>
      </c>
    </row>
    <row r="49" spans="1:13" s="3" customFormat="1" ht="13.5" thickBot="1">
      <c r="A49" s="433"/>
      <c r="B49" s="429"/>
      <c r="C49" s="48" t="s">
        <v>1</v>
      </c>
      <c r="D49" s="173">
        <v>40.59</v>
      </c>
      <c r="E49" s="173">
        <v>-57.61</v>
      </c>
      <c r="F49" s="173">
        <v>-284.88</v>
      </c>
      <c r="G49" s="173">
        <v>54.77</v>
      </c>
      <c r="H49" s="173">
        <v>58.22</v>
      </c>
      <c r="I49" s="173">
        <v>40.08</v>
      </c>
      <c r="J49" s="173">
        <v>-74.36</v>
      </c>
      <c r="K49" s="173">
        <v>-139.73</v>
      </c>
      <c r="L49" s="173">
        <v>89.03</v>
      </c>
      <c r="M49" s="337">
        <f t="shared" si="0"/>
        <v>-273.89</v>
      </c>
    </row>
    <row r="50" spans="1:13" s="3" customFormat="1" ht="13.5" thickBot="1">
      <c r="A50" s="433"/>
      <c r="B50" s="429"/>
      <c r="C50" s="50" t="s">
        <v>2</v>
      </c>
      <c r="D50" s="173">
        <v>0.01</v>
      </c>
      <c r="E50" s="173">
        <v>7.47</v>
      </c>
      <c r="F50" s="173">
        <v>30.15</v>
      </c>
      <c r="G50" s="173">
        <v>5.48</v>
      </c>
      <c r="H50" s="173">
        <v>25.14</v>
      </c>
      <c r="I50" s="173">
        <v>1.66</v>
      </c>
      <c r="J50" s="173">
        <v>55.18</v>
      </c>
      <c r="K50" s="173">
        <v>80.04</v>
      </c>
      <c r="L50" s="173">
        <v>0.65</v>
      </c>
      <c r="M50" s="337">
        <f t="shared" si="0"/>
        <v>205.78</v>
      </c>
    </row>
    <row r="51" spans="1:13" s="3" customFormat="1" ht="13.5" thickBot="1">
      <c r="A51" s="433"/>
      <c r="B51" s="429"/>
      <c r="C51" s="48" t="s">
        <v>4</v>
      </c>
      <c r="D51" s="173">
        <f>+D49</f>
        <v>40.59</v>
      </c>
      <c r="E51" s="173">
        <f aca="true" t="shared" si="18" ref="E51:L51">+E49</f>
        <v>-57.61</v>
      </c>
      <c r="F51" s="173">
        <f t="shared" si="18"/>
        <v>-284.88</v>
      </c>
      <c r="G51" s="173">
        <f t="shared" si="18"/>
        <v>54.77</v>
      </c>
      <c r="H51" s="173">
        <f t="shared" si="18"/>
        <v>58.22</v>
      </c>
      <c r="I51" s="173">
        <f t="shared" si="18"/>
        <v>40.08</v>
      </c>
      <c r="J51" s="173">
        <f t="shared" si="18"/>
        <v>-74.36</v>
      </c>
      <c r="K51" s="173">
        <f t="shared" si="18"/>
        <v>-139.73</v>
      </c>
      <c r="L51" s="173">
        <f t="shared" si="18"/>
        <v>89.03</v>
      </c>
      <c r="M51" s="337">
        <f t="shared" si="0"/>
        <v>-273.89</v>
      </c>
    </row>
    <row r="52" spans="1:13" s="3" customFormat="1" ht="13.5" thickBot="1">
      <c r="A52" s="433"/>
      <c r="B52" s="429"/>
      <c r="C52" s="48" t="s">
        <v>3</v>
      </c>
      <c r="D52" s="173">
        <f>+D50</f>
        <v>0.01</v>
      </c>
      <c r="E52" s="173">
        <f aca="true" t="shared" si="19" ref="E52:L52">+E50</f>
        <v>7.47</v>
      </c>
      <c r="F52" s="173">
        <f t="shared" si="19"/>
        <v>30.15</v>
      </c>
      <c r="G52" s="173">
        <f t="shared" si="19"/>
        <v>5.48</v>
      </c>
      <c r="H52" s="173">
        <f t="shared" si="19"/>
        <v>25.14</v>
      </c>
      <c r="I52" s="173">
        <f t="shared" si="19"/>
        <v>1.66</v>
      </c>
      <c r="J52" s="173">
        <f t="shared" si="19"/>
        <v>55.18</v>
      </c>
      <c r="K52" s="173">
        <f t="shared" si="19"/>
        <v>80.04</v>
      </c>
      <c r="L52" s="173">
        <f t="shared" si="19"/>
        <v>0.65</v>
      </c>
      <c r="M52" s="337">
        <f t="shared" si="0"/>
        <v>205.78</v>
      </c>
    </row>
    <row r="53" spans="1:13" s="3" customFormat="1" ht="13.5" thickBot="1">
      <c r="A53" s="433"/>
      <c r="B53" s="429"/>
      <c r="C53" s="63" t="s">
        <v>199</v>
      </c>
      <c r="D53" s="75">
        <f>D48+D49-D50</f>
        <v>5.115699530655604E-15</v>
      </c>
      <c r="E53" s="75">
        <f aca="true" t="shared" si="20" ref="E53:M53">E48+E49-E50</f>
        <v>0</v>
      </c>
      <c r="F53" s="75">
        <f t="shared" si="20"/>
        <v>0</v>
      </c>
      <c r="G53" s="75">
        <f t="shared" si="20"/>
        <v>0</v>
      </c>
      <c r="H53" s="75">
        <f t="shared" si="20"/>
        <v>0</v>
      </c>
      <c r="I53" s="75">
        <f t="shared" si="20"/>
        <v>-3.3306690738754696E-15</v>
      </c>
      <c r="J53" s="75">
        <f t="shared" si="20"/>
        <v>0</v>
      </c>
      <c r="K53" s="75">
        <f t="shared" si="20"/>
        <v>0</v>
      </c>
      <c r="L53" s="75">
        <f t="shared" si="20"/>
        <v>5.662137425588298E-15</v>
      </c>
      <c r="M53" s="75">
        <f t="shared" si="20"/>
        <v>0</v>
      </c>
    </row>
    <row r="54" spans="1:13" s="3" customFormat="1" ht="12.75">
      <c r="A54" s="457"/>
      <c r="B54" s="430" t="s">
        <v>132</v>
      </c>
      <c r="C54" s="49" t="s">
        <v>175</v>
      </c>
      <c r="D54" s="172">
        <v>-2086.81</v>
      </c>
      <c r="E54" s="172">
        <f>-633.97-11.1</f>
        <v>-645.07</v>
      </c>
      <c r="F54" s="172">
        <f>8770.79+42.71</f>
        <v>8813.5</v>
      </c>
      <c r="G54" s="172">
        <f>+-5.79+-1168.67</f>
        <v>-1174.46</v>
      </c>
      <c r="H54" s="172">
        <f>-712.65-11.69</f>
        <v>-724.34</v>
      </c>
      <c r="I54" s="172">
        <f>+-649.1+-6.97</f>
        <v>-656.07</v>
      </c>
      <c r="J54" s="172">
        <f>-5717.65-3.73</f>
        <v>-5721.379999999999</v>
      </c>
      <c r="K54" s="172">
        <f>-29494.57-13.78</f>
        <v>-29508.35</v>
      </c>
      <c r="L54" s="172">
        <f>-2578.36-10.27</f>
        <v>-2588.63</v>
      </c>
      <c r="M54" s="337">
        <f t="shared" si="0"/>
        <v>-34291.60999999999</v>
      </c>
    </row>
    <row r="55" spans="1:13" s="3" customFormat="1" ht="12.75">
      <c r="A55" s="457"/>
      <c r="B55" s="431"/>
      <c r="C55" s="48" t="s">
        <v>1</v>
      </c>
      <c r="D55" s="173">
        <v>2086.91</v>
      </c>
      <c r="E55" s="173">
        <f>633.97+11.1</f>
        <v>645.07</v>
      </c>
      <c r="F55" s="173">
        <f>-8345.75-42.71</f>
        <v>-8388.46</v>
      </c>
      <c r="G55" s="173">
        <f>1168.67+5.79</f>
        <v>1174.46</v>
      </c>
      <c r="H55" s="173">
        <f>713+11.7</f>
        <v>724.7</v>
      </c>
      <c r="I55" s="173">
        <f>649.1+6.97</f>
        <v>656.07</v>
      </c>
      <c r="J55" s="173">
        <f>6123.19+3.73</f>
        <v>6126.919999999999</v>
      </c>
      <c r="K55" s="173">
        <f>29507.53+13.8</f>
        <v>29521.329999999998</v>
      </c>
      <c r="L55" s="173">
        <f>2583.87+10.27</f>
        <v>2594.14</v>
      </c>
      <c r="M55" s="337">
        <f t="shared" si="0"/>
        <v>35141.14</v>
      </c>
    </row>
    <row r="56" spans="1:13" s="3" customFormat="1" ht="12.75">
      <c r="A56" s="457"/>
      <c r="B56" s="431"/>
      <c r="C56" s="50" t="s">
        <v>2</v>
      </c>
      <c r="D56" s="173">
        <v>0.1</v>
      </c>
      <c r="E56" s="173">
        <v>0</v>
      </c>
      <c r="F56" s="173">
        <v>425.04</v>
      </c>
      <c r="G56" s="173">
        <v>0</v>
      </c>
      <c r="H56" s="173">
        <f>0.35+0.01</f>
        <v>0.36</v>
      </c>
      <c r="I56" s="173">
        <v>0</v>
      </c>
      <c r="J56" s="173">
        <v>405.54</v>
      </c>
      <c r="K56" s="173">
        <f>12.96+0.02</f>
        <v>12.98</v>
      </c>
      <c r="L56" s="173">
        <v>5.51</v>
      </c>
      <c r="M56" s="337">
        <f t="shared" si="0"/>
        <v>849.5300000000001</v>
      </c>
    </row>
    <row r="57" spans="1:13" s="3" customFormat="1" ht="12.75">
      <c r="A57" s="457"/>
      <c r="B57" s="431"/>
      <c r="C57" s="48" t="s">
        <v>4</v>
      </c>
      <c r="D57" s="173">
        <f>+D55</f>
        <v>2086.91</v>
      </c>
      <c r="E57" s="173">
        <f aca="true" t="shared" si="21" ref="E57:L57">+E55</f>
        <v>645.07</v>
      </c>
      <c r="F57" s="173">
        <f t="shared" si="21"/>
        <v>-8388.46</v>
      </c>
      <c r="G57" s="173">
        <f t="shared" si="21"/>
        <v>1174.46</v>
      </c>
      <c r="H57" s="173">
        <f t="shared" si="21"/>
        <v>724.7</v>
      </c>
      <c r="I57" s="173">
        <f t="shared" si="21"/>
        <v>656.07</v>
      </c>
      <c r="J57" s="173">
        <f t="shared" si="21"/>
        <v>6126.919999999999</v>
      </c>
      <c r="K57" s="173">
        <f t="shared" si="21"/>
        <v>29521.329999999998</v>
      </c>
      <c r="L57" s="173">
        <f t="shared" si="21"/>
        <v>2594.14</v>
      </c>
      <c r="M57" s="337">
        <f t="shared" si="0"/>
        <v>35141.14</v>
      </c>
    </row>
    <row r="58" spans="1:13" s="3" customFormat="1" ht="12.75">
      <c r="A58" s="457"/>
      <c r="B58" s="431"/>
      <c r="C58" s="48" t="s">
        <v>3</v>
      </c>
      <c r="D58" s="173">
        <f>+D56</f>
        <v>0.1</v>
      </c>
      <c r="E58" s="173">
        <f aca="true" t="shared" si="22" ref="E58:L58">+E56</f>
        <v>0</v>
      </c>
      <c r="F58" s="173">
        <f t="shared" si="22"/>
        <v>425.04</v>
      </c>
      <c r="G58" s="173">
        <f t="shared" si="22"/>
        <v>0</v>
      </c>
      <c r="H58" s="173">
        <f t="shared" si="22"/>
        <v>0.36</v>
      </c>
      <c r="I58" s="173">
        <f t="shared" si="22"/>
        <v>0</v>
      </c>
      <c r="J58" s="173">
        <f t="shared" si="22"/>
        <v>405.54</v>
      </c>
      <c r="K58" s="173">
        <f t="shared" si="22"/>
        <v>12.98</v>
      </c>
      <c r="L58" s="173">
        <f t="shared" si="22"/>
        <v>5.51</v>
      </c>
      <c r="M58" s="337">
        <f t="shared" si="0"/>
        <v>849.5300000000001</v>
      </c>
    </row>
    <row r="59" spans="1:13" s="3" customFormat="1" ht="13.5" thickBot="1">
      <c r="A59" s="458"/>
      <c r="B59" s="432"/>
      <c r="C59" s="63" t="s">
        <v>199</v>
      </c>
      <c r="D59" s="75">
        <f>D54+D55-D56</f>
        <v>-9.095502129241595E-14</v>
      </c>
      <c r="E59" s="75">
        <f aca="true" t="shared" si="23" ref="E59:M59">E54+E55-E56</f>
        <v>0</v>
      </c>
      <c r="F59" s="75">
        <f t="shared" si="23"/>
        <v>8.526512829121202E-13</v>
      </c>
      <c r="G59" s="75">
        <f t="shared" si="23"/>
        <v>0</v>
      </c>
      <c r="H59" s="75">
        <f t="shared" si="23"/>
        <v>1.3655743202889425E-14</v>
      </c>
      <c r="I59" s="75">
        <f t="shared" si="23"/>
        <v>0</v>
      </c>
      <c r="J59" s="75">
        <f t="shared" si="23"/>
        <v>0</v>
      </c>
      <c r="K59" s="75">
        <f t="shared" si="23"/>
        <v>-4.369837824924616E-13</v>
      </c>
      <c r="L59" s="75">
        <f t="shared" si="23"/>
        <v>-2.362554596402333E-13</v>
      </c>
      <c r="M59" s="75">
        <f t="shared" si="23"/>
        <v>6.0254023992456496E-12</v>
      </c>
    </row>
    <row r="60" spans="1:13" s="24" customFormat="1" ht="12.75" customHeight="1" thickBot="1">
      <c r="A60" s="428" t="s">
        <v>13</v>
      </c>
      <c r="B60" s="429" t="s">
        <v>14</v>
      </c>
      <c r="C60" s="49" t="s">
        <v>175</v>
      </c>
      <c r="D60" s="172">
        <v>2439.04</v>
      </c>
      <c r="E60" s="172">
        <v>8820.43</v>
      </c>
      <c r="F60" s="172">
        <v>25739.07</v>
      </c>
      <c r="G60" s="172">
        <v>4945.51</v>
      </c>
      <c r="H60" s="172">
        <v>11258.27</v>
      </c>
      <c r="I60" s="172">
        <v>13647.82</v>
      </c>
      <c r="J60" s="172">
        <v>-929.12</v>
      </c>
      <c r="K60" s="172">
        <v>30916.36</v>
      </c>
      <c r="L60" s="172">
        <v>-632.48</v>
      </c>
      <c r="M60" s="337">
        <f t="shared" si="0"/>
        <v>96204.90000000001</v>
      </c>
    </row>
    <row r="61" spans="1:13" s="24" customFormat="1" ht="13.5" thickBot="1">
      <c r="A61" s="428"/>
      <c r="B61" s="429"/>
      <c r="C61" s="48" t="s">
        <v>1</v>
      </c>
      <c r="D61" s="173">
        <v>20470.15</v>
      </c>
      <c r="E61" s="173">
        <v>46133.01</v>
      </c>
      <c r="F61" s="173">
        <v>42273</v>
      </c>
      <c r="G61" s="173">
        <v>57582.42</v>
      </c>
      <c r="H61" s="173">
        <v>58082.81</v>
      </c>
      <c r="I61" s="173">
        <v>64734.26</v>
      </c>
      <c r="J61" s="173">
        <v>0</v>
      </c>
      <c r="K61" s="173">
        <v>101902.16</v>
      </c>
      <c r="L61" s="173">
        <v>0</v>
      </c>
      <c r="M61" s="337">
        <f t="shared" si="0"/>
        <v>391177.81000000006</v>
      </c>
    </row>
    <row r="62" spans="1:13" s="24" customFormat="1" ht="13.5" thickBot="1">
      <c r="A62" s="428"/>
      <c r="B62" s="429"/>
      <c r="C62" s="50" t="s">
        <v>2</v>
      </c>
      <c r="D62" s="173">
        <v>19915.07</v>
      </c>
      <c r="E62" s="173">
        <v>42719.75</v>
      </c>
      <c r="F62" s="173">
        <v>37647.23</v>
      </c>
      <c r="G62" s="173">
        <v>55769.83</v>
      </c>
      <c r="H62" s="173">
        <v>61323.1</v>
      </c>
      <c r="I62" s="173">
        <v>57224.83</v>
      </c>
      <c r="J62" s="173">
        <v>0</v>
      </c>
      <c r="K62" s="173">
        <v>94624.06</v>
      </c>
      <c r="L62" s="173">
        <v>0</v>
      </c>
      <c r="M62" s="337">
        <f t="shared" si="0"/>
        <v>369223.87</v>
      </c>
    </row>
    <row r="63" spans="1:13" s="24" customFormat="1" ht="13.5" thickBot="1">
      <c r="A63" s="428"/>
      <c r="B63" s="429"/>
      <c r="C63" s="48" t="s">
        <v>4</v>
      </c>
      <c r="D63" s="173">
        <f>+D61</f>
        <v>20470.15</v>
      </c>
      <c r="E63" s="173">
        <f aca="true" t="shared" si="24" ref="E63:L63">+E61</f>
        <v>46133.01</v>
      </c>
      <c r="F63" s="173">
        <f t="shared" si="24"/>
        <v>42273</v>
      </c>
      <c r="G63" s="173">
        <f t="shared" si="24"/>
        <v>57582.42</v>
      </c>
      <c r="H63" s="173">
        <f t="shared" si="24"/>
        <v>58082.81</v>
      </c>
      <c r="I63" s="173">
        <f t="shared" si="24"/>
        <v>64734.26</v>
      </c>
      <c r="J63" s="173">
        <f t="shared" si="24"/>
        <v>0</v>
      </c>
      <c r="K63" s="173">
        <f t="shared" si="24"/>
        <v>101902.16</v>
      </c>
      <c r="L63" s="173">
        <f t="shared" si="24"/>
        <v>0</v>
      </c>
      <c r="M63" s="337">
        <f t="shared" si="0"/>
        <v>391177.81000000006</v>
      </c>
    </row>
    <row r="64" spans="1:13" s="24" customFormat="1" ht="13.5" thickBot="1">
      <c r="A64" s="428"/>
      <c r="B64" s="429"/>
      <c r="C64" s="48" t="s">
        <v>3</v>
      </c>
      <c r="D64" s="173">
        <f>+D62</f>
        <v>19915.07</v>
      </c>
      <c r="E64" s="173">
        <f aca="true" t="shared" si="25" ref="E64:L64">+E62</f>
        <v>42719.75</v>
      </c>
      <c r="F64" s="173">
        <f t="shared" si="25"/>
        <v>37647.23</v>
      </c>
      <c r="G64" s="173">
        <f t="shared" si="25"/>
        <v>55769.83</v>
      </c>
      <c r="H64" s="173">
        <f t="shared" si="25"/>
        <v>61323.1</v>
      </c>
      <c r="I64" s="173">
        <f t="shared" si="25"/>
        <v>57224.83</v>
      </c>
      <c r="J64" s="173">
        <f t="shared" si="25"/>
        <v>0</v>
      </c>
      <c r="K64" s="173">
        <f t="shared" si="25"/>
        <v>94624.06</v>
      </c>
      <c r="L64" s="173">
        <f t="shared" si="25"/>
        <v>0</v>
      </c>
      <c r="M64" s="337">
        <f t="shared" si="0"/>
        <v>369223.87</v>
      </c>
    </row>
    <row r="65" spans="1:13" s="3" customFormat="1" ht="13.5" thickBot="1">
      <c r="A65" s="428"/>
      <c r="B65" s="429"/>
      <c r="C65" s="63" t="s">
        <v>199</v>
      </c>
      <c r="D65" s="75">
        <f aca="true" t="shared" si="26" ref="D65:M65">D60+D61-D62</f>
        <v>2994.1200000000026</v>
      </c>
      <c r="E65" s="75">
        <f t="shared" si="26"/>
        <v>12233.690000000002</v>
      </c>
      <c r="F65" s="75">
        <f t="shared" si="26"/>
        <v>30364.840000000004</v>
      </c>
      <c r="G65" s="75">
        <f t="shared" si="26"/>
        <v>6758.0999999999985</v>
      </c>
      <c r="H65" s="75">
        <f t="shared" si="26"/>
        <v>8017.980000000003</v>
      </c>
      <c r="I65" s="75">
        <f t="shared" si="26"/>
        <v>21157.25</v>
      </c>
      <c r="J65" s="75">
        <f t="shared" si="26"/>
        <v>-929.12</v>
      </c>
      <c r="K65" s="75">
        <f t="shared" si="26"/>
        <v>38194.46000000002</v>
      </c>
      <c r="L65" s="75">
        <f t="shared" si="26"/>
        <v>-632.48</v>
      </c>
      <c r="M65" s="75">
        <f t="shared" si="26"/>
        <v>118158.84000000008</v>
      </c>
    </row>
    <row r="66" spans="1:13" s="24" customFormat="1" ht="13.5" thickBot="1">
      <c r="A66" s="428"/>
      <c r="B66" s="429" t="s">
        <v>15</v>
      </c>
      <c r="C66" s="49" t="s">
        <v>175</v>
      </c>
      <c r="D66" s="172">
        <f>1082.9+709.51</f>
        <v>1792.41</v>
      </c>
      <c r="E66" s="172">
        <f>1695.69+5016.03</f>
        <v>6711.719999999999</v>
      </c>
      <c r="F66" s="172">
        <f>700.95+3877.82</f>
        <v>4578.77</v>
      </c>
      <c r="G66" s="172">
        <v>480.92</v>
      </c>
      <c r="H66" s="172">
        <v>2689.97</v>
      </c>
      <c r="I66" s="172">
        <f>-26.58+2212.29</f>
        <v>2185.71</v>
      </c>
      <c r="J66" s="172">
        <v>-140.54</v>
      </c>
      <c r="K66" s="172">
        <f>0.42+8288.81</f>
        <v>8289.23</v>
      </c>
      <c r="L66" s="172">
        <v>-97.85</v>
      </c>
      <c r="M66" s="337">
        <f t="shared" si="0"/>
        <v>26490.34</v>
      </c>
    </row>
    <row r="67" spans="1:13" s="24" customFormat="1" ht="13.5" thickBot="1">
      <c r="A67" s="428"/>
      <c r="B67" s="429"/>
      <c r="C67" s="48" t="s">
        <v>1</v>
      </c>
      <c r="D67" s="173">
        <f>-1082.9+7202.88</f>
        <v>6119.98</v>
      </c>
      <c r="E67" s="173">
        <f>-1695.69+16568.64</f>
        <v>14872.949999999999</v>
      </c>
      <c r="F67" s="173">
        <f>-700.95+11985.6</f>
        <v>11284.65</v>
      </c>
      <c r="G67" s="173">
        <v>10296.32</v>
      </c>
      <c r="H67" s="173">
        <v>18186.69</v>
      </c>
      <c r="I67" s="173">
        <f>26.58+13812.69</f>
        <v>13839.27</v>
      </c>
      <c r="J67" s="173">
        <v>140.54</v>
      </c>
      <c r="K67" s="173">
        <f>-0.42+21927.85</f>
        <v>21927.43</v>
      </c>
      <c r="L67" s="173">
        <v>97.85</v>
      </c>
      <c r="M67" s="337">
        <f t="shared" si="0"/>
        <v>96765.68</v>
      </c>
    </row>
    <row r="68" spans="1:13" s="24" customFormat="1" ht="13.5" thickBot="1">
      <c r="A68" s="428"/>
      <c r="B68" s="429"/>
      <c r="C68" s="50" t="s">
        <v>2</v>
      </c>
      <c r="D68" s="173">
        <v>6947.76</v>
      </c>
      <c r="E68" s="173">
        <v>15178.69</v>
      </c>
      <c r="F68" s="173">
        <v>10518.69</v>
      </c>
      <c r="G68" s="173">
        <v>10182.59</v>
      </c>
      <c r="H68" s="173">
        <v>19214.11</v>
      </c>
      <c r="I68" s="173">
        <v>12588.95</v>
      </c>
      <c r="J68" s="173">
        <v>0</v>
      </c>
      <c r="K68" s="173">
        <v>22022.66</v>
      </c>
      <c r="L68" s="173">
        <v>0</v>
      </c>
      <c r="M68" s="337">
        <f t="shared" si="0"/>
        <v>96653.45</v>
      </c>
    </row>
    <row r="69" spans="1:13" s="24" customFormat="1" ht="13.5" thickBot="1">
      <c r="A69" s="428"/>
      <c r="B69" s="429"/>
      <c r="C69" s="48" t="s">
        <v>4</v>
      </c>
      <c r="D69" s="173">
        <f>+D67</f>
        <v>6119.98</v>
      </c>
      <c r="E69" s="173">
        <f aca="true" t="shared" si="27" ref="E69:L69">+E67</f>
        <v>14872.949999999999</v>
      </c>
      <c r="F69" s="173">
        <f t="shared" si="27"/>
        <v>11284.65</v>
      </c>
      <c r="G69" s="173">
        <f t="shared" si="27"/>
        <v>10296.32</v>
      </c>
      <c r="H69" s="173">
        <f t="shared" si="27"/>
        <v>18186.69</v>
      </c>
      <c r="I69" s="173">
        <f t="shared" si="27"/>
        <v>13839.27</v>
      </c>
      <c r="J69" s="173">
        <f t="shared" si="27"/>
        <v>140.54</v>
      </c>
      <c r="K69" s="173">
        <f t="shared" si="27"/>
        <v>21927.43</v>
      </c>
      <c r="L69" s="173">
        <f t="shared" si="27"/>
        <v>97.85</v>
      </c>
      <c r="M69" s="337">
        <f t="shared" si="0"/>
        <v>96765.68</v>
      </c>
    </row>
    <row r="70" spans="1:13" s="24" customFormat="1" ht="13.5" thickBot="1">
      <c r="A70" s="428"/>
      <c r="B70" s="429"/>
      <c r="C70" s="48" t="s">
        <v>3</v>
      </c>
      <c r="D70" s="173">
        <f>+D68</f>
        <v>6947.76</v>
      </c>
      <c r="E70" s="173">
        <f aca="true" t="shared" si="28" ref="E70:L70">+E68</f>
        <v>15178.69</v>
      </c>
      <c r="F70" s="173">
        <f t="shared" si="28"/>
        <v>10518.69</v>
      </c>
      <c r="G70" s="173">
        <f t="shared" si="28"/>
        <v>10182.59</v>
      </c>
      <c r="H70" s="173">
        <f t="shared" si="28"/>
        <v>19214.11</v>
      </c>
      <c r="I70" s="173">
        <f t="shared" si="28"/>
        <v>12588.95</v>
      </c>
      <c r="J70" s="173">
        <f t="shared" si="28"/>
        <v>0</v>
      </c>
      <c r="K70" s="173">
        <f t="shared" si="28"/>
        <v>22022.66</v>
      </c>
      <c r="L70" s="173">
        <f t="shared" si="28"/>
        <v>0</v>
      </c>
      <c r="M70" s="337">
        <f aca="true" t="shared" si="29" ref="M70:M107">L70+K70+J70+I70+H70+G70+F70+E70+D70</f>
        <v>96653.45</v>
      </c>
    </row>
    <row r="71" spans="1:13" s="3" customFormat="1" ht="13.5" thickBot="1">
      <c r="A71" s="428"/>
      <c r="B71" s="429"/>
      <c r="C71" s="63" t="s">
        <v>199</v>
      </c>
      <c r="D71" s="75">
        <f>D66+D67-D68</f>
        <v>964.6299999999992</v>
      </c>
      <c r="E71" s="75">
        <f aca="true" t="shared" si="30" ref="E71:M71">E66+E67-E68</f>
        <v>6405.979999999998</v>
      </c>
      <c r="F71" s="75">
        <f t="shared" si="30"/>
        <v>5344.73</v>
      </c>
      <c r="G71" s="75">
        <f t="shared" si="30"/>
        <v>594.6499999999996</v>
      </c>
      <c r="H71" s="75">
        <f t="shared" si="30"/>
        <v>1662.5499999999993</v>
      </c>
      <c r="I71" s="75">
        <f t="shared" si="30"/>
        <v>3436.029999999999</v>
      </c>
      <c r="J71" s="75">
        <f t="shared" si="30"/>
        <v>0</v>
      </c>
      <c r="K71" s="75">
        <f t="shared" si="30"/>
        <v>8194</v>
      </c>
      <c r="L71" s="75">
        <f t="shared" si="30"/>
        <v>0</v>
      </c>
      <c r="M71" s="75">
        <f t="shared" si="30"/>
        <v>26602.569999999992</v>
      </c>
    </row>
    <row r="72" spans="1:13" s="3" customFormat="1" ht="13.5" hidden="1" thickBot="1">
      <c r="A72" s="401"/>
      <c r="B72" s="439" t="s">
        <v>47</v>
      </c>
      <c r="C72" s="49" t="s">
        <v>156</v>
      </c>
      <c r="D72" s="81"/>
      <c r="E72" s="81"/>
      <c r="F72" s="81"/>
      <c r="G72" s="81"/>
      <c r="H72" s="81"/>
      <c r="I72" s="81"/>
      <c r="J72" s="81"/>
      <c r="K72" s="81"/>
      <c r="L72" s="81"/>
      <c r="M72" s="337">
        <f t="shared" si="29"/>
        <v>0</v>
      </c>
    </row>
    <row r="73" spans="1:13" s="3" customFormat="1" ht="13.5" hidden="1" thickBot="1">
      <c r="A73" s="379"/>
      <c r="B73" s="439"/>
      <c r="C73" s="48" t="s">
        <v>1</v>
      </c>
      <c r="D73" s="73"/>
      <c r="E73" s="73"/>
      <c r="F73" s="73"/>
      <c r="G73" s="73"/>
      <c r="H73" s="73"/>
      <c r="I73" s="73"/>
      <c r="J73" s="73"/>
      <c r="K73" s="73"/>
      <c r="L73" s="73"/>
      <c r="M73" s="337">
        <f t="shared" si="29"/>
        <v>0</v>
      </c>
    </row>
    <row r="74" spans="1:13" s="3" customFormat="1" ht="13.5" hidden="1" thickBot="1">
      <c r="A74" s="379"/>
      <c r="B74" s="439"/>
      <c r="C74" s="50" t="s">
        <v>2</v>
      </c>
      <c r="D74" s="73"/>
      <c r="E74" s="73"/>
      <c r="F74" s="73"/>
      <c r="G74" s="73"/>
      <c r="H74" s="73"/>
      <c r="I74" s="73"/>
      <c r="J74" s="73"/>
      <c r="K74" s="73"/>
      <c r="L74" s="73"/>
      <c r="M74" s="337">
        <f t="shared" si="29"/>
        <v>0</v>
      </c>
    </row>
    <row r="75" spans="1:13" s="3" customFormat="1" ht="13.5" hidden="1" thickBot="1">
      <c r="A75" s="379"/>
      <c r="B75" s="439"/>
      <c r="C75" s="48" t="s">
        <v>4</v>
      </c>
      <c r="D75" s="73"/>
      <c r="E75" s="73"/>
      <c r="F75" s="82"/>
      <c r="G75" s="73"/>
      <c r="H75" s="73"/>
      <c r="I75" s="73"/>
      <c r="J75" s="73"/>
      <c r="K75" s="73"/>
      <c r="L75" s="73"/>
      <c r="M75" s="337">
        <f t="shared" si="29"/>
        <v>0</v>
      </c>
    </row>
    <row r="76" spans="1:13" s="3" customFormat="1" ht="13.5" hidden="1" thickBot="1">
      <c r="A76" s="379"/>
      <c r="B76" s="439"/>
      <c r="C76" s="48" t="s">
        <v>3</v>
      </c>
      <c r="D76" s="73"/>
      <c r="E76" s="73"/>
      <c r="F76" s="82"/>
      <c r="G76" s="73"/>
      <c r="H76" s="73"/>
      <c r="I76" s="73"/>
      <c r="J76" s="73"/>
      <c r="K76" s="73"/>
      <c r="L76" s="73"/>
      <c r="M76" s="337">
        <f t="shared" si="29"/>
        <v>0</v>
      </c>
    </row>
    <row r="77" spans="1:13" s="13" customFormat="1" ht="13.5" hidden="1" thickBot="1">
      <c r="A77" s="379"/>
      <c r="B77" s="439"/>
      <c r="C77" s="63" t="s">
        <v>160</v>
      </c>
      <c r="D77" s="67">
        <f aca="true" t="shared" si="31" ref="D77:L77">D72+D73-D74</f>
        <v>0</v>
      </c>
      <c r="E77" s="67">
        <f t="shared" si="31"/>
        <v>0</v>
      </c>
      <c r="F77" s="67">
        <f t="shared" si="31"/>
        <v>0</v>
      </c>
      <c r="G77" s="67">
        <f t="shared" si="31"/>
        <v>0</v>
      </c>
      <c r="H77" s="67">
        <f t="shared" si="31"/>
        <v>0</v>
      </c>
      <c r="I77" s="67">
        <f t="shared" si="31"/>
        <v>0</v>
      </c>
      <c r="J77" s="67"/>
      <c r="K77" s="67"/>
      <c r="L77" s="67">
        <f t="shared" si="31"/>
        <v>0</v>
      </c>
      <c r="M77" s="337">
        <f t="shared" si="29"/>
        <v>0</v>
      </c>
    </row>
    <row r="78" spans="1:13" s="3" customFormat="1" ht="13.5" customHeight="1" hidden="1" thickBot="1">
      <c r="A78" s="379"/>
      <c r="B78" s="439" t="s">
        <v>45</v>
      </c>
      <c r="C78" s="49" t="s">
        <v>156</v>
      </c>
      <c r="D78" s="73"/>
      <c r="E78" s="73"/>
      <c r="F78" s="73"/>
      <c r="G78" s="73"/>
      <c r="H78" s="73"/>
      <c r="I78" s="73"/>
      <c r="J78" s="73"/>
      <c r="K78" s="73"/>
      <c r="L78" s="73"/>
      <c r="M78" s="337">
        <f t="shared" si="29"/>
        <v>0</v>
      </c>
    </row>
    <row r="79" spans="1:13" s="3" customFormat="1" ht="13.5" customHeight="1" hidden="1" thickBot="1">
      <c r="A79" s="379"/>
      <c r="B79" s="439"/>
      <c r="C79" s="48" t="s">
        <v>1</v>
      </c>
      <c r="D79" s="73"/>
      <c r="E79" s="73"/>
      <c r="F79" s="73"/>
      <c r="G79" s="73"/>
      <c r="H79" s="73"/>
      <c r="I79" s="73"/>
      <c r="J79" s="73"/>
      <c r="K79" s="73"/>
      <c r="L79" s="73"/>
      <c r="M79" s="337">
        <f t="shared" si="29"/>
        <v>0</v>
      </c>
    </row>
    <row r="80" spans="1:13" s="3" customFormat="1" ht="13.5" customHeight="1" hidden="1" thickBot="1">
      <c r="A80" s="379"/>
      <c r="B80" s="439"/>
      <c r="C80" s="50" t="s">
        <v>2</v>
      </c>
      <c r="D80" s="73"/>
      <c r="E80" s="73"/>
      <c r="F80" s="73"/>
      <c r="G80" s="73"/>
      <c r="H80" s="73"/>
      <c r="I80" s="73"/>
      <c r="J80" s="73"/>
      <c r="K80" s="73"/>
      <c r="L80" s="73"/>
      <c r="M80" s="337">
        <f t="shared" si="29"/>
        <v>0</v>
      </c>
    </row>
    <row r="81" spans="1:13" s="3" customFormat="1" ht="13.5" customHeight="1" hidden="1" thickBot="1">
      <c r="A81" s="379"/>
      <c r="B81" s="439"/>
      <c r="C81" s="48" t="s">
        <v>4</v>
      </c>
      <c r="D81" s="73"/>
      <c r="E81" s="73"/>
      <c r="F81" s="82"/>
      <c r="G81" s="82"/>
      <c r="H81" s="73"/>
      <c r="I81" s="82"/>
      <c r="J81" s="82"/>
      <c r="K81" s="82"/>
      <c r="L81" s="82"/>
      <c r="M81" s="337">
        <f t="shared" si="29"/>
        <v>0</v>
      </c>
    </row>
    <row r="82" spans="1:13" s="3" customFormat="1" ht="13.5" customHeight="1" hidden="1" thickBot="1">
      <c r="A82" s="379"/>
      <c r="B82" s="439"/>
      <c r="C82" s="48" t="s">
        <v>3</v>
      </c>
      <c r="D82" s="67"/>
      <c r="E82" s="67"/>
      <c r="F82" s="82"/>
      <c r="G82" s="82"/>
      <c r="H82" s="67"/>
      <c r="I82" s="82"/>
      <c r="J82" s="82"/>
      <c r="K82" s="82"/>
      <c r="L82" s="82"/>
      <c r="M82" s="337">
        <f t="shared" si="29"/>
        <v>0</v>
      </c>
    </row>
    <row r="83" spans="1:13" s="3" customFormat="1" ht="13.5" customHeight="1" hidden="1" thickBot="1">
      <c r="A83" s="380"/>
      <c r="B83" s="439"/>
      <c r="C83" s="63" t="s">
        <v>160</v>
      </c>
      <c r="D83" s="67">
        <f aca="true" t="shared" si="32" ref="D83:L83">D78+D79-D80</f>
        <v>0</v>
      </c>
      <c r="E83" s="67">
        <f t="shared" si="32"/>
        <v>0</v>
      </c>
      <c r="F83" s="67">
        <f t="shared" si="32"/>
        <v>0</v>
      </c>
      <c r="G83" s="67">
        <f t="shared" si="32"/>
        <v>0</v>
      </c>
      <c r="H83" s="67">
        <f t="shared" si="32"/>
        <v>0</v>
      </c>
      <c r="I83" s="67">
        <f t="shared" si="32"/>
        <v>0</v>
      </c>
      <c r="J83" s="67"/>
      <c r="K83" s="67"/>
      <c r="L83" s="67">
        <f t="shared" si="32"/>
        <v>0</v>
      </c>
      <c r="M83" s="337">
        <f t="shared" si="29"/>
        <v>0</v>
      </c>
    </row>
    <row r="84" spans="1:13" s="3" customFormat="1" ht="14.25" customHeight="1" hidden="1" thickBot="1">
      <c r="A84" s="434" t="s">
        <v>17</v>
      </c>
      <c r="B84" s="439" t="s">
        <v>43</v>
      </c>
      <c r="C84" s="49" t="s">
        <v>156</v>
      </c>
      <c r="D84" s="73"/>
      <c r="E84" s="73"/>
      <c r="F84" s="73"/>
      <c r="G84" s="73"/>
      <c r="H84" s="73"/>
      <c r="I84" s="73"/>
      <c r="J84" s="73"/>
      <c r="K84" s="73"/>
      <c r="L84" s="73"/>
      <c r="M84" s="337">
        <f t="shared" si="29"/>
        <v>0</v>
      </c>
    </row>
    <row r="85" spans="1:13" s="3" customFormat="1" ht="13.5" customHeight="1" hidden="1" thickBot="1">
      <c r="A85" s="433"/>
      <c r="B85" s="439"/>
      <c r="C85" s="48" t="s">
        <v>1</v>
      </c>
      <c r="D85" s="73"/>
      <c r="E85" s="73"/>
      <c r="F85" s="73"/>
      <c r="G85" s="73"/>
      <c r="H85" s="73"/>
      <c r="I85" s="73"/>
      <c r="J85" s="73"/>
      <c r="K85" s="73"/>
      <c r="L85" s="73"/>
      <c r="M85" s="337">
        <f t="shared" si="29"/>
        <v>0</v>
      </c>
    </row>
    <row r="86" spans="1:13" s="3" customFormat="1" ht="13.5" customHeight="1" hidden="1" thickBot="1">
      <c r="A86" s="433"/>
      <c r="B86" s="439"/>
      <c r="C86" s="50" t="s">
        <v>2</v>
      </c>
      <c r="D86" s="73"/>
      <c r="E86" s="73"/>
      <c r="F86" s="73"/>
      <c r="G86" s="73"/>
      <c r="H86" s="73"/>
      <c r="I86" s="73"/>
      <c r="J86" s="73"/>
      <c r="K86" s="73"/>
      <c r="L86" s="73"/>
      <c r="M86" s="337">
        <f t="shared" si="29"/>
        <v>0</v>
      </c>
    </row>
    <row r="87" spans="1:13" s="3" customFormat="1" ht="13.5" customHeight="1" hidden="1" thickBot="1">
      <c r="A87" s="433"/>
      <c r="B87" s="439"/>
      <c r="C87" s="48" t="s">
        <v>4</v>
      </c>
      <c r="D87" s="73"/>
      <c r="E87" s="73"/>
      <c r="F87" s="73"/>
      <c r="G87" s="73"/>
      <c r="H87" s="73"/>
      <c r="I87" s="73"/>
      <c r="J87" s="73"/>
      <c r="K87" s="73"/>
      <c r="L87" s="73"/>
      <c r="M87" s="337">
        <f t="shared" si="29"/>
        <v>0</v>
      </c>
    </row>
    <row r="88" spans="1:13" s="3" customFormat="1" ht="13.5" customHeight="1" hidden="1" thickBot="1">
      <c r="A88" s="433"/>
      <c r="B88" s="439"/>
      <c r="C88" s="48" t="s">
        <v>3</v>
      </c>
      <c r="D88" s="67"/>
      <c r="E88" s="67"/>
      <c r="F88" s="67"/>
      <c r="G88" s="67"/>
      <c r="H88" s="67"/>
      <c r="I88" s="67"/>
      <c r="J88" s="67"/>
      <c r="K88" s="67"/>
      <c r="L88" s="67"/>
      <c r="M88" s="337">
        <f t="shared" si="29"/>
        <v>0</v>
      </c>
    </row>
    <row r="89" spans="1:13" s="3" customFormat="1" ht="13.5" customHeight="1" hidden="1" thickBot="1">
      <c r="A89" s="433"/>
      <c r="B89" s="439"/>
      <c r="C89" s="63" t="s">
        <v>160</v>
      </c>
      <c r="D89" s="67">
        <f aca="true" t="shared" si="33" ref="D89:L89">D84+D85-D86</f>
        <v>0</v>
      </c>
      <c r="E89" s="67">
        <f t="shared" si="33"/>
        <v>0</v>
      </c>
      <c r="F89" s="67">
        <f t="shared" si="33"/>
        <v>0</v>
      </c>
      <c r="G89" s="67">
        <f t="shared" si="33"/>
        <v>0</v>
      </c>
      <c r="H89" s="67">
        <f t="shared" si="33"/>
        <v>0</v>
      </c>
      <c r="I89" s="67">
        <f t="shared" si="33"/>
        <v>0</v>
      </c>
      <c r="J89" s="67"/>
      <c r="K89" s="67"/>
      <c r="L89" s="67">
        <f t="shared" si="33"/>
        <v>0</v>
      </c>
      <c r="M89" s="337">
        <f t="shared" si="29"/>
        <v>0</v>
      </c>
    </row>
    <row r="90" spans="1:13" s="3" customFormat="1" ht="13.5" customHeight="1" hidden="1" thickBot="1">
      <c r="A90" s="433"/>
      <c r="B90" s="439" t="s">
        <v>18</v>
      </c>
      <c r="C90" s="49" t="s">
        <v>156</v>
      </c>
      <c r="D90" s="73"/>
      <c r="E90" s="73"/>
      <c r="F90" s="73"/>
      <c r="G90" s="73"/>
      <c r="H90" s="73"/>
      <c r="I90" s="73"/>
      <c r="J90" s="73"/>
      <c r="K90" s="73"/>
      <c r="L90" s="73"/>
      <c r="M90" s="337">
        <f t="shared" si="29"/>
        <v>0</v>
      </c>
    </row>
    <row r="91" spans="1:13" s="3" customFormat="1" ht="13.5" customHeight="1" hidden="1" thickBot="1">
      <c r="A91" s="433"/>
      <c r="B91" s="439"/>
      <c r="C91" s="48" t="s">
        <v>1</v>
      </c>
      <c r="D91" s="73"/>
      <c r="E91" s="73"/>
      <c r="F91" s="73"/>
      <c r="G91" s="73"/>
      <c r="H91" s="73"/>
      <c r="I91" s="73"/>
      <c r="J91" s="73"/>
      <c r="K91" s="73"/>
      <c r="L91" s="73"/>
      <c r="M91" s="337">
        <f t="shared" si="29"/>
        <v>0</v>
      </c>
    </row>
    <row r="92" spans="1:13" s="3" customFormat="1" ht="13.5" customHeight="1" hidden="1" thickBot="1">
      <c r="A92" s="433"/>
      <c r="B92" s="439"/>
      <c r="C92" s="50" t="s">
        <v>2</v>
      </c>
      <c r="D92" s="73"/>
      <c r="E92" s="73"/>
      <c r="F92" s="73"/>
      <c r="G92" s="73"/>
      <c r="H92" s="73"/>
      <c r="I92" s="73"/>
      <c r="J92" s="73"/>
      <c r="K92" s="73"/>
      <c r="L92" s="73"/>
      <c r="M92" s="337">
        <f t="shared" si="29"/>
        <v>0</v>
      </c>
    </row>
    <row r="93" spans="1:13" s="3" customFormat="1" ht="13.5" customHeight="1" hidden="1" thickBot="1">
      <c r="A93" s="433"/>
      <c r="B93" s="439"/>
      <c r="C93" s="48" t="s">
        <v>4</v>
      </c>
      <c r="D93" s="73"/>
      <c r="E93" s="73"/>
      <c r="F93" s="73"/>
      <c r="G93" s="73"/>
      <c r="H93" s="73"/>
      <c r="I93" s="73"/>
      <c r="J93" s="73"/>
      <c r="K93" s="73"/>
      <c r="L93" s="73"/>
      <c r="M93" s="337">
        <f t="shared" si="29"/>
        <v>0</v>
      </c>
    </row>
    <row r="94" spans="1:13" s="3" customFormat="1" ht="13.5" customHeight="1" hidden="1" thickBot="1">
      <c r="A94" s="433"/>
      <c r="B94" s="439"/>
      <c r="C94" s="48" t="s">
        <v>3</v>
      </c>
      <c r="D94" s="67"/>
      <c r="E94" s="67"/>
      <c r="F94" s="67"/>
      <c r="G94" s="67"/>
      <c r="H94" s="67"/>
      <c r="I94" s="67"/>
      <c r="J94" s="67"/>
      <c r="K94" s="67"/>
      <c r="L94" s="67"/>
      <c r="M94" s="337">
        <f t="shared" si="29"/>
        <v>0</v>
      </c>
    </row>
    <row r="95" spans="1:13" s="3" customFormat="1" ht="13.5" customHeight="1" hidden="1" thickBot="1">
      <c r="A95" s="433"/>
      <c r="B95" s="439"/>
      <c r="C95" s="63" t="s">
        <v>160</v>
      </c>
      <c r="D95" s="67">
        <f>D90+D91-D92</f>
        <v>0</v>
      </c>
      <c r="E95" s="67">
        <f aca="true" t="shared" si="34" ref="E95:L95">E90+E91-E92</f>
        <v>0</v>
      </c>
      <c r="F95" s="67">
        <f t="shared" si="34"/>
        <v>0</v>
      </c>
      <c r="G95" s="67">
        <f t="shared" si="34"/>
        <v>0</v>
      </c>
      <c r="H95" s="67">
        <f t="shared" si="34"/>
        <v>0</v>
      </c>
      <c r="I95" s="67">
        <f t="shared" si="34"/>
        <v>0</v>
      </c>
      <c r="J95" s="67"/>
      <c r="K95" s="67"/>
      <c r="L95" s="67">
        <f t="shared" si="34"/>
        <v>0</v>
      </c>
      <c r="M95" s="337">
        <f t="shared" si="29"/>
        <v>0</v>
      </c>
    </row>
    <row r="96" spans="1:13" s="3" customFormat="1" ht="13.5" customHeight="1" hidden="1" thickBot="1">
      <c r="A96" s="433"/>
      <c r="B96" s="439" t="s">
        <v>19</v>
      </c>
      <c r="C96" s="49" t="s">
        <v>156</v>
      </c>
      <c r="D96" s="73"/>
      <c r="E96" s="73"/>
      <c r="F96" s="73"/>
      <c r="G96" s="73"/>
      <c r="H96" s="73"/>
      <c r="I96" s="73"/>
      <c r="J96" s="73"/>
      <c r="K96" s="73"/>
      <c r="L96" s="73"/>
      <c r="M96" s="337">
        <f t="shared" si="29"/>
        <v>0</v>
      </c>
    </row>
    <row r="97" spans="1:13" s="3" customFormat="1" ht="13.5" customHeight="1" hidden="1" thickBot="1">
      <c r="A97" s="433"/>
      <c r="B97" s="439"/>
      <c r="C97" s="48" t="s">
        <v>1</v>
      </c>
      <c r="D97" s="73"/>
      <c r="E97" s="73"/>
      <c r="F97" s="73"/>
      <c r="G97" s="73"/>
      <c r="H97" s="73"/>
      <c r="I97" s="73"/>
      <c r="J97" s="73"/>
      <c r="K97" s="73"/>
      <c r="L97" s="73"/>
      <c r="M97" s="337">
        <f t="shared" si="29"/>
        <v>0</v>
      </c>
    </row>
    <row r="98" spans="1:13" s="3" customFormat="1" ht="13.5" customHeight="1" hidden="1" thickBot="1">
      <c r="A98" s="433"/>
      <c r="B98" s="439"/>
      <c r="C98" s="50" t="s">
        <v>2</v>
      </c>
      <c r="D98" s="73"/>
      <c r="E98" s="73"/>
      <c r="F98" s="73"/>
      <c r="G98" s="73"/>
      <c r="H98" s="73"/>
      <c r="I98" s="73"/>
      <c r="J98" s="73"/>
      <c r="K98" s="73"/>
      <c r="L98" s="73"/>
      <c r="M98" s="337">
        <f t="shared" si="29"/>
        <v>0</v>
      </c>
    </row>
    <row r="99" spans="1:13" s="3" customFormat="1" ht="13.5" customHeight="1" hidden="1" thickBot="1">
      <c r="A99" s="433"/>
      <c r="B99" s="439"/>
      <c r="C99" s="48" t="s">
        <v>4</v>
      </c>
      <c r="D99" s="73"/>
      <c r="E99" s="73"/>
      <c r="F99" s="73"/>
      <c r="G99" s="73"/>
      <c r="H99" s="73"/>
      <c r="I99" s="73"/>
      <c r="J99" s="73"/>
      <c r="K99" s="73"/>
      <c r="L99" s="73"/>
      <c r="M99" s="337">
        <f t="shared" si="29"/>
        <v>0</v>
      </c>
    </row>
    <row r="100" spans="1:13" s="3" customFormat="1" ht="13.5" customHeight="1" hidden="1" thickBot="1">
      <c r="A100" s="433"/>
      <c r="B100" s="439"/>
      <c r="C100" s="48" t="s">
        <v>3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337">
        <f t="shared" si="29"/>
        <v>0</v>
      </c>
    </row>
    <row r="101" spans="1:13" s="3" customFormat="1" ht="13.5" customHeight="1" hidden="1" thickBot="1">
      <c r="A101" s="433"/>
      <c r="B101" s="439"/>
      <c r="C101" s="63" t="s">
        <v>160</v>
      </c>
      <c r="D101" s="74">
        <f aca="true" t="shared" si="35" ref="D101:L101">D96+D97-D98</f>
        <v>0</v>
      </c>
      <c r="E101" s="74">
        <f t="shared" si="35"/>
        <v>0</v>
      </c>
      <c r="F101" s="74">
        <f t="shared" si="35"/>
        <v>0</v>
      </c>
      <c r="G101" s="74">
        <f t="shared" si="35"/>
        <v>0</v>
      </c>
      <c r="H101" s="74">
        <f t="shared" si="35"/>
        <v>0</v>
      </c>
      <c r="I101" s="74">
        <f t="shared" si="35"/>
        <v>0</v>
      </c>
      <c r="J101" s="74"/>
      <c r="K101" s="74"/>
      <c r="L101" s="74">
        <f t="shared" si="35"/>
        <v>0</v>
      </c>
      <c r="M101" s="337">
        <f t="shared" si="29"/>
        <v>0</v>
      </c>
    </row>
    <row r="102" spans="1:13" s="24" customFormat="1" ht="13.5" customHeight="1" thickBot="1">
      <c r="A102" s="433"/>
      <c r="B102" s="439" t="s">
        <v>16</v>
      </c>
      <c r="C102" s="49" t="s">
        <v>175</v>
      </c>
      <c r="D102" s="173">
        <v>3174.8</v>
      </c>
      <c r="E102" s="173">
        <v>24056.67</v>
      </c>
      <c r="F102" s="173">
        <v>29957.38</v>
      </c>
      <c r="G102" s="173">
        <v>1783.62</v>
      </c>
      <c r="H102" s="173">
        <v>9411.43</v>
      </c>
      <c r="I102" s="173">
        <v>7751.99</v>
      </c>
      <c r="J102" s="173">
        <v>12106.7</v>
      </c>
      <c r="K102" s="173">
        <v>24727.41</v>
      </c>
      <c r="L102" s="173">
        <v>10250.92</v>
      </c>
      <c r="M102" s="337">
        <f t="shared" si="29"/>
        <v>123220.92</v>
      </c>
    </row>
    <row r="103" spans="1:13" s="24" customFormat="1" ht="13.5" thickBot="1">
      <c r="A103" s="433"/>
      <c r="B103" s="439"/>
      <c r="C103" s="48" t="s">
        <v>1</v>
      </c>
      <c r="D103" s="173">
        <v>29733.12</v>
      </c>
      <c r="E103" s="173">
        <v>98810.15</v>
      </c>
      <c r="F103" s="173">
        <v>83112.45</v>
      </c>
      <c r="G103" s="173">
        <v>56621.88</v>
      </c>
      <c r="H103" s="173">
        <v>62744.04</v>
      </c>
      <c r="I103" s="173">
        <v>49737.49</v>
      </c>
      <c r="J103" s="173">
        <v>60420.91</v>
      </c>
      <c r="K103" s="173">
        <v>71351.15</v>
      </c>
      <c r="L103" s="173">
        <v>61381.79</v>
      </c>
      <c r="M103" s="337">
        <f t="shared" si="29"/>
        <v>573912.98</v>
      </c>
    </row>
    <row r="104" spans="1:13" s="24" customFormat="1" ht="13.5" thickBot="1">
      <c r="A104" s="433"/>
      <c r="B104" s="439"/>
      <c r="C104" s="50" t="s">
        <v>2</v>
      </c>
      <c r="D104" s="173">
        <v>28080.62</v>
      </c>
      <c r="E104" s="173">
        <v>91769.72</v>
      </c>
      <c r="F104" s="173">
        <v>86469.71</v>
      </c>
      <c r="G104" s="173">
        <v>56232.58</v>
      </c>
      <c r="H104" s="173">
        <v>66398.88</v>
      </c>
      <c r="I104" s="173">
        <v>45583.94</v>
      </c>
      <c r="J104" s="173">
        <v>62020.37</v>
      </c>
      <c r="K104" s="173">
        <v>72084.61</v>
      </c>
      <c r="L104" s="173">
        <v>65452.51</v>
      </c>
      <c r="M104" s="337">
        <f t="shared" si="29"/>
        <v>574092.9400000001</v>
      </c>
    </row>
    <row r="105" spans="1:13" s="24" customFormat="1" ht="13.5" thickBot="1">
      <c r="A105" s="433"/>
      <c r="B105" s="439"/>
      <c r="C105" s="48" t="s">
        <v>4</v>
      </c>
      <c r="D105" s="173">
        <f>+D103</f>
        <v>29733.12</v>
      </c>
      <c r="E105" s="173">
        <f aca="true" t="shared" si="36" ref="E105:L105">+E103</f>
        <v>98810.15</v>
      </c>
      <c r="F105" s="173">
        <f t="shared" si="36"/>
        <v>83112.45</v>
      </c>
      <c r="G105" s="173">
        <f t="shared" si="36"/>
        <v>56621.88</v>
      </c>
      <c r="H105" s="173">
        <f t="shared" si="36"/>
        <v>62744.04</v>
      </c>
      <c r="I105" s="173">
        <f t="shared" si="36"/>
        <v>49737.49</v>
      </c>
      <c r="J105" s="173">
        <f t="shared" si="36"/>
        <v>60420.91</v>
      </c>
      <c r="K105" s="173">
        <f t="shared" si="36"/>
        <v>71351.15</v>
      </c>
      <c r="L105" s="173">
        <f t="shared" si="36"/>
        <v>61381.79</v>
      </c>
      <c r="M105" s="337">
        <f t="shared" si="29"/>
        <v>573912.98</v>
      </c>
    </row>
    <row r="106" spans="1:13" s="24" customFormat="1" ht="13.5" thickBot="1">
      <c r="A106" s="433"/>
      <c r="B106" s="439"/>
      <c r="C106" s="48" t="s">
        <v>3</v>
      </c>
      <c r="D106" s="173">
        <f>+D104</f>
        <v>28080.62</v>
      </c>
      <c r="E106" s="173">
        <f>E105+E102</f>
        <v>122866.81999999999</v>
      </c>
      <c r="F106" s="173">
        <f aca="true" t="shared" si="37" ref="F106:L106">+F104</f>
        <v>86469.71</v>
      </c>
      <c r="G106" s="173">
        <f t="shared" si="37"/>
        <v>56232.58</v>
      </c>
      <c r="H106" s="173">
        <f>H105+H102</f>
        <v>72155.47</v>
      </c>
      <c r="I106" s="173">
        <f>I105+I102</f>
        <v>57489.479999999996</v>
      </c>
      <c r="J106" s="173">
        <f t="shared" si="37"/>
        <v>62020.37</v>
      </c>
      <c r="K106" s="173">
        <f t="shared" si="37"/>
        <v>72084.61</v>
      </c>
      <c r="L106" s="173">
        <f t="shared" si="37"/>
        <v>65452.51</v>
      </c>
      <c r="M106" s="337">
        <f t="shared" si="29"/>
        <v>622852.1699999999</v>
      </c>
    </row>
    <row r="107" spans="1:13" s="3" customFormat="1" ht="13.5" thickBot="1">
      <c r="A107" s="435"/>
      <c r="B107" s="439"/>
      <c r="C107" s="63" t="s">
        <v>199</v>
      </c>
      <c r="D107" s="71">
        <f>D102+D103-D104</f>
        <v>4827.299999999999</v>
      </c>
      <c r="E107" s="71">
        <f aca="true" t="shared" si="38" ref="E107:L107">E102+E103-E104</f>
        <v>31097.09999999999</v>
      </c>
      <c r="F107" s="71">
        <f t="shared" si="38"/>
        <v>26600.119999999995</v>
      </c>
      <c r="G107" s="71">
        <f t="shared" si="38"/>
        <v>2172.9199999999983</v>
      </c>
      <c r="H107" s="71">
        <f t="shared" si="38"/>
        <v>5756.5899999999965</v>
      </c>
      <c r="I107" s="71">
        <f t="shared" si="38"/>
        <v>11905.539999999994</v>
      </c>
      <c r="J107" s="71">
        <f t="shared" si="38"/>
        <v>10507.239999999998</v>
      </c>
      <c r="K107" s="71">
        <f t="shared" si="38"/>
        <v>23993.949999999997</v>
      </c>
      <c r="L107" s="71">
        <f t="shared" si="38"/>
        <v>6180.200000000004</v>
      </c>
      <c r="M107" s="371">
        <f t="shared" si="29"/>
        <v>123040.95999999998</v>
      </c>
    </row>
    <row r="108" spans="1:13" ht="13.5" customHeight="1">
      <c r="A108" s="393" t="s">
        <v>188</v>
      </c>
      <c r="B108" s="393"/>
      <c r="C108" s="376"/>
      <c r="D108" s="121"/>
      <c r="E108" s="121"/>
      <c r="F108" s="121"/>
      <c r="G108" s="121"/>
      <c r="H108" s="121"/>
      <c r="I108" s="121"/>
      <c r="J108" s="121"/>
      <c r="K108" s="121"/>
      <c r="L108" s="121"/>
      <c r="M108" s="169"/>
    </row>
    <row r="109" spans="1:13" ht="12.75" customHeight="1" thickBot="1">
      <c r="A109" s="426"/>
      <c r="B109" s="426"/>
      <c r="C109" s="339" t="s">
        <v>175</v>
      </c>
      <c r="D109" s="117">
        <f aca="true" t="shared" si="39" ref="D109:D114">D6+D12+D30+D36+D42+D48+D54+D60+D66+D102</f>
        <v>102166.59000000001</v>
      </c>
      <c r="E109" s="117">
        <f aca="true" t="shared" si="40" ref="E109:M109">E6+E12+E30+E36+E42+E48+E54+E60+E66+E102</f>
        <v>345904</v>
      </c>
      <c r="F109" s="117">
        <f t="shared" si="40"/>
        <v>645356.6299999999</v>
      </c>
      <c r="G109" s="117">
        <f t="shared" si="40"/>
        <v>100188.5</v>
      </c>
      <c r="H109" s="117">
        <f t="shared" si="40"/>
        <v>232420.39</v>
      </c>
      <c r="I109" s="117">
        <f t="shared" si="40"/>
        <v>204803.85999999996</v>
      </c>
      <c r="J109" s="117">
        <f t="shared" si="40"/>
        <v>338737.51</v>
      </c>
      <c r="K109" s="117">
        <f t="shared" si="40"/>
        <v>678167.05</v>
      </c>
      <c r="L109" s="117">
        <f t="shared" si="40"/>
        <v>89823.39999999998</v>
      </c>
      <c r="M109" s="117">
        <f t="shared" si="40"/>
        <v>2737567.9299999997</v>
      </c>
    </row>
    <row r="110" spans="1:13" ht="13.5" thickBot="1">
      <c r="A110" s="427"/>
      <c r="B110" s="427"/>
      <c r="C110" s="338" t="s">
        <v>1</v>
      </c>
      <c r="D110" s="122">
        <f t="shared" si="39"/>
        <v>807565.09</v>
      </c>
      <c r="E110" s="122">
        <f aca="true" t="shared" si="41" ref="E110:M110">E7+E13+E31+E37+E43+E49+E55+E61+E67+E103</f>
        <v>1754708.3099999998</v>
      </c>
      <c r="F110" s="122">
        <f t="shared" si="41"/>
        <v>1168139.99</v>
      </c>
      <c r="G110" s="122">
        <f t="shared" si="41"/>
        <v>1038665.06</v>
      </c>
      <c r="H110" s="122">
        <f t="shared" si="41"/>
        <v>1776043.2399999998</v>
      </c>
      <c r="I110" s="122">
        <f t="shared" si="41"/>
        <v>1472759.2900000003</v>
      </c>
      <c r="J110" s="122">
        <f t="shared" si="41"/>
        <v>1330472.8199999998</v>
      </c>
      <c r="K110" s="122">
        <f t="shared" si="41"/>
        <v>2176866.79</v>
      </c>
      <c r="L110" s="122">
        <f t="shared" si="41"/>
        <v>1130737.3800000001</v>
      </c>
      <c r="M110" s="122">
        <f t="shared" si="41"/>
        <v>12655957.969999999</v>
      </c>
    </row>
    <row r="111" spans="1:13" ht="13.5" thickBot="1">
      <c r="A111" s="427"/>
      <c r="B111" s="427"/>
      <c r="C111" s="338" t="s">
        <v>2</v>
      </c>
      <c r="D111" s="122">
        <f t="shared" si="39"/>
        <v>714736.35</v>
      </c>
      <c r="E111" s="122">
        <f aca="true" t="shared" si="42" ref="E111:M111">E8+E14+E32+E38+E44+E50+E56+E62+E68+E104</f>
        <v>1431710.3799999997</v>
      </c>
      <c r="F111" s="122">
        <f t="shared" si="42"/>
        <v>1065656.98</v>
      </c>
      <c r="G111" s="122">
        <f t="shared" si="42"/>
        <v>1012415.8599999999</v>
      </c>
      <c r="H111" s="122">
        <f t="shared" si="42"/>
        <v>1829001.4500000002</v>
      </c>
      <c r="I111" s="122">
        <f t="shared" si="42"/>
        <v>1223406.8699999999</v>
      </c>
      <c r="J111" s="122">
        <f t="shared" si="42"/>
        <v>1274778.61</v>
      </c>
      <c r="K111" s="122">
        <f t="shared" si="42"/>
        <v>2136826.41</v>
      </c>
      <c r="L111" s="122">
        <f t="shared" si="42"/>
        <v>1317067.4099999997</v>
      </c>
      <c r="M111" s="122">
        <f t="shared" si="42"/>
        <v>12005600.32</v>
      </c>
    </row>
    <row r="112" spans="1:13" ht="13.5" thickBot="1">
      <c r="A112" s="427"/>
      <c r="B112" s="427"/>
      <c r="C112" s="340" t="s">
        <v>4</v>
      </c>
      <c r="D112" s="117">
        <f t="shared" si="39"/>
        <v>807565.09</v>
      </c>
      <c r="E112" s="117">
        <f aca="true" t="shared" si="43" ref="E112:M112">E9+E15+E33+E39+E45+E51+E57+E63+E69+E105</f>
        <v>1754708.3099999998</v>
      </c>
      <c r="F112" s="117">
        <f t="shared" si="43"/>
        <v>1168139.99</v>
      </c>
      <c r="G112" s="117">
        <f t="shared" si="43"/>
        <v>1038665.06</v>
      </c>
      <c r="H112" s="117">
        <f t="shared" si="43"/>
        <v>1776043.2399999998</v>
      </c>
      <c r="I112" s="117">
        <f t="shared" si="43"/>
        <v>1472759.2900000003</v>
      </c>
      <c r="J112" s="117">
        <f t="shared" si="43"/>
        <v>1330472.8199999998</v>
      </c>
      <c r="K112" s="117">
        <f t="shared" si="43"/>
        <v>2176866.79</v>
      </c>
      <c r="L112" s="117">
        <f t="shared" si="43"/>
        <v>1130737.3800000001</v>
      </c>
      <c r="M112" s="117">
        <f t="shared" si="43"/>
        <v>12655957.969999999</v>
      </c>
    </row>
    <row r="113" spans="1:13" ht="13.5" thickBot="1">
      <c r="A113" s="427"/>
      <c r="B113" s="427"/>
      <c r="C113" s="338" t="s">
        <v>3</v>
      </c>
      <c r="D113" s="122">
        <f t="shared" si="39"/>
        <v>714736.35</v>
      </c>
      <c r="E113" s="122">
        <f aca="true" t="shared" si="44" ref="E113:M113">E10+E16+E34+E40+E46+E52+E58+E64+E70+E106</f>
        <v>1462807.4799999997</v>
      </c>
      <c r="F113" s="122">
        <f t="shared" si="44"/>
        <v>1065656.98</v>
      </c>
      <c r="G113" s="122">
        <f t="shared" si="44"/>
        <v>1012415.8599999999</v>
      </c>
      <c r="H113" s="122">
        <f t="shared" si="44"/>
        <v>1840983.07</v>
      </c>
      <c r="I113" s="122">
        <f t="shared" si="44"/>
        <v>1235312.41</v>
      </c>
      <c r="J113" s="122">
        <f t="shared" si="44"/>
        <v>1274778.61</v>
      </c>
      <c r="K113" s="122">
        <f t="shared" si="44"/>
        <v>2136826.41</v>
      </c>
      <c r="L113" s="122">
        <f t="shared" si="44"/>
        <v>1317067.4099999997</v>
      </c>
      <c r="M113" s="122">
        <f t="shared" si="44"/>
        <v>12060584.58</v>
      </c>
    </row>
    <row r="114" spans="1:13" s="4" customFormat="1" ht="13.5" thickBot="1">
      <c r="A114" s="427"/>
      <c r="B114" s="427"/>
      <c r="C114" s="346" t="s">
        <v>199</v>
      </c>
      <c r="D114" s="345">
        <f t="shared" si="39"/>
        <v>194995.3299999999</v>
      </c>
      <c r="E114" s="345">
        <f aca="true" t="shared" si="45" ref="E114:M114">E11+E17+E35+E41+E47+E53+E59+E65+E71+E107</f>
        <v>668901.93</v>
      </c>
      <c r="F114" s="345">
        <f t="shared" si="45"/>
        <v>747839.6399999998</v>
      </c>
      <c r="G114" s="345">
        <f t="shared" si="45"/>
        <v>126437.70000000006</v>
      </c>
      <c r="H114" s="345">
        <f t="shared" si="45"/>
        <v>179462.18</v>
      </c>
      <c r="I114" s="345">
        <f t="shared" si="45"/>
        <v>454156.27999999997</v>
      </c>
      <c r="J114" s="345">
        <f t="shared" si="45"/>
        <v>394431.72000000003</v>
      </c>
      <c r="K114" s="345">
        <f t="shared" si="45"/>
        <v>718207.4299999999</v>
      </c>
      <c r="L114" s="345">
        <f t="shared" si="45"/>
        <v>-96506.62999999992</v>
      </c>
      <c r="M114" s="345">
        <f t="shared" si="45"/>
        <v>3387925.579999996</v>
      </c>
    </row>
    <row r="115" spans="1:13" s="4" customFormat="1" ht="13.5" thickBot="1">
      <c r="A115" s="434" t="s">
        <v>54</v>
      </c>
      <c r="B115" s="429" t="s">
        <v>43</v>
      </c>
      <c r="C115" s="49" t="s">
        <v>175</v>
      </c>
      <c r="D115" s="172">
        <v>14007.01</v>
      </c>
      <c r="E115" s="172">
        <v>61233.21</v>
      </c>
      <c r="F115" s="172">
        <v>115897.81</v>
      </c>
      <c r="G115" s="172">
        <v>7336.69</v>
      </c>
      <c r="H115" s="172">
        <v>32742.59</v>
      </c>
      <c r="I115" s="172">
        <v>33483.88</v>
      </c>
      <c r="J115" s="172">
        <v>51932.99</v>
      </c>
      <c r="K115" s="172">
        <v>111202.94</v>
      </c>
      <c r="L115" s="172">
        <v>36632.24</v>
      </c>
      <c r="M115" s="334">
        <f aca="true" t="shared" si="46" ref="M115:M178">L115+K115+J115+I115+H115+G115+F115+E115+D115</f>
        <v>464469.36000000004</v>
      </c>
    </row>
    <row r="116" spans="1:13" s="4" customFormat="1" ht="13.5" thickBot="1">
      <c r="A116" s="433"/>
      <c r="B116" s="429"/>
      <c r="C116" s="48" t="s">
        <v>1</v>
      </c>
      <c r="D116" s="173">
        <v>131598.84</v>
      </c>
      <c r="E116" s="173">
        <v>290600.94</v>
      </c>
      <c r="F116" s="173">
        <v>215440.9</v>
      </c>
      <c r="G116" s="173">
        <v>166564.01</v>
      </c>
      <c r="H116" s="173">
        <v>277947.79</v>
      </c>
      <c r="I116" s="173">
        <v>220138</v>
      </c>
      <c r="J116" s="173">
        <v>237895.37</v>
      </c>
      <c r="K116" s="173">
        <v>346324.11</v>
      </c>
      <c r="L116" s="173">
        <v>248912.37</v>
      </c>
      <c r="M116" s="335">
        <f t="shared" si="46"/>
        <v>2135422.33</v>
      </c>
    </row>
    <row r="117" spans="1:13" s="4" customFormat="1" ht="13.5" thickBot="1">
      <c r="A117" s="433"/>
      <c r="B117" s="429"/>
      <c r="C117" s="50" t="s">
        <v>2</v>
      </c>
      <c r="D117" s="173">
        <v>124243.03</v>
      </c>
      <c r="E117" s="173">
        <v>256054</v>
      </c>
      <c r="F117" s="173">
        <v>199005.72</v>
      </c>
      <c r="G117" s="173">
        <v>164771.95</v>
      </c>
      <c r="H117" s="173">
        <v>285213.84</v>
      </c>
      <c r="I117" s="173">
        <v>201016.94</v>
      </c>
      <c r="J117" s="173">
        <v>244486.48</v>
      </c>
      <c r="K117" s="173">
        <v>345713.25</v>
      </c>
      <c r="L117" s="173">
        <v>255290.86</v>
      </c>
      <c r="M117" s="335">
        <f t="shared" si="46"/>
        <v>2075796.07</v>
      </c>
    </row>
    <row r="118" spans="1:13" s="4" customFormat="1" ht="13.5" thickBot="1">
      <c r="A118" s="433"/>
      <c r="B118" s="429"/>
      <c r="C118" s="48" t="s">
        <v>4</v>
      </c>
      <c r="D118" s="219">
        <v>131757.72</v>
      </c>
      <c r="E118" s="219">
        <v>137773.76</v>
      </c>
      <c r="F118" s="219">
        <v>150011.75</v>
      </c>
      <c r="G118" s="219">
        <v>163683.36</v>
      </c>
      <c r="H118" s="219">
        <v>179449.93</v>
      </c>
      <c r="I118" s="219">
        <v>123316.67</v>
      </c>
      <c r="J118" s="219">
        <v>325541.88</v>
      </c>
      <c r="K118" s="219">
        <v>281891.96</v>
      </c>
      <c r="L118" s="219">
        <v>247021.9</v>
      </c>
      <c r="M118" s="335">
        <f t="shared" si="46"/>
        <v>1740448.9300000002</v>
      </c>
    </row>
    <row r="119" spans="1:13" s="4" customFormat="1" ht="13.5" thickBot="1">
      <c r="A119" s="433"/>
      <c r="B119" s="429"/>
      <c r="C119" s="48" t="s">
        <v>3</v>
      </c>
      <c r="D119" s="173">
        <f>+D117</f>
        <v>124243.03</v>
      </c>
      <c r="E119" s="173">
        <f>E118+E115</f>
        <v>199006.97</v>
      </c>
      <c r="F119" s="173">
        <f aca="true" t="shared" si="47" ref="F119:L119">+F117</f>
        <v>199005.72</v>
      </c>
      <c r="G119" s="173">
        <f t="shared" si="47"/>
        <v>164771.95</v>
      </c>
      <c r="H119" s="173">
        <f>H118+H115</f>
        <v>212192.52</v>
      </c>
      <c r="I119" s="173">
        <f>I118+I115</f>
        <v>156800.55</v>
      </c>
      <c r="J119" s="173">
        <f t="shared" si="47"/>
        <v>244486.48</v>
      </c>
      <c r="K119" s="173">
        <f t="shared" si="47"/>
        <v>345713.25</v>
      </c>
      <c r="L119" s="173">
        <f t="shared" si="47"/>
        <v>255290.86</v>
      </c>
      <c r="M119" s="335">
        <f t="shared" si="46"/>
        <v>1901511.3299999998</v>
      </c>
    </row>
    <row r="120" spans="1:13" s="3" customFormat="1" ht="13.5" thickBot="1">
      <c r="A120" s="433"/>
      <c r="B120" s="429"/>
      <c r="C120" s="63" t="s">
        <v>199</v>
      </c>
      <c r="D120" s="75">
        <f>D115+D116-D117</f>
        <v>21362.820000000007</v>
      </c>
      <c r="E120" s="75">
        <f aca="true" t="shared" si="48" ref="E120:M120">E115+E116-E117</f>
        <v>95780.15000000002</v>
      </c>
      <c r="F120" s="75">
        <f t="shared" si="48"/>
        <v>132332.98999999996</v>
      </c>
      <c r="G120" s="75">
        <f t="shared" si="48"/>
        <v>9128.75</v>
      </c>
      <c r="H120" s="75">
        <f t="shared" si="48"/>
        <v>25476.53999999998</v>
      </c>
      <c r="I120" s="75">
        <f t="shared" si="48"/>
        <v>52604.94</v>
      </c>
      <c r="J120" s="75">
        <f t="shared" si="48"/>
        <v>45341.879999999976</v>
      </c>
      <c r="K120" s="75">
        <f t="shared" si="48"/>
        <v>111813.79999999999</v>
      </c>
      <c r="L120" s="75">
        <f t="shared" si="48"/>
        <v>30253.75</v>
      </c>
      <c r="M120" s="75">
        <f t="shared" si="48"/>
        <v>524095.6199999999</v>
      </c>
    </row>
    <row r="121" spans="1:13" s="4" customFormat="1" ht="13.5" thickBot="1">
      <c r="A121" s="433"/>
      <c r="B121" s="429" t="s">
        <v>18</v>
      </c>
      <c r="C121" s="49" t="s">
        <v>175</v>
      </c>
      <c r="D121" s="172">
        <v>2899.69</v>
      </c>
      <c r="E121" s="172">
        <v>12768.23</v>
      </c>
      <c r="F121" s="172">
        <v>27984.29</v>
      </c>
      <c r="G121" s="172">
        <v>1531.09</v>
      </c>
      <c r="H121" s="172">
        <v>8536.58</v>
      </c>
      <c r="I121" s="172">
        <v>7079.24</v>
      </c>
      <c r="J121" s="172">
        <v>10725.772</v>
      </c>
      <c r="K121" s="172">
        <f>143.59+21806.5</f>
        <v>21950.09</v>
      </c>
      <c r="L121" s="172">
        <v>7865.33</v>
      </c>
      <c r="M121" s="335">
        <f t="shared" si="46"/>
        <v>101340.31199999999</v>
      </c>
    </row>
    <row r="122" spans="1:13" s="4" customFormat="1" ht="13.5" thickBot="1">
      <c r="A122" s="433"/>
      <c r="B122" s="429"/>
      <c r="C122" s="48" t="s">
        <v>1</v>
      </c>
      <c r="D122" s="173">
        <v>27157.08</v>
      </c>
      <c r="E122" s="173">
        <v>60484.86</v>
      </c>
      <c r="F122" s="173">
        <v>43198.03</v>
      </c>
      <c r="G122" s="173">
        <v>34372.75</v>
      </c>
      <c r="H122" s="173">
        <v>57354.83</v>
      </c>
      <c r="I122" s="173">
        <v>45428.26</v>
      </c>
      <c r="J122" s="173">
        <v>49092.71</v>
      </c>
      <c r="K122" s="173">
        <f>-142.41+67069.95</f>
        <v>66927.54</v>
      </c>
      <c r="L122" s="173">
        <v>51102.22</v>
      </c>
      <c r="M122" s="335">
        <f t="shared" si="46"/>
        <v>435118.27999999997</v>
      </c>
    </row>
    <row r="123" spans="1:13" s="4" customFormat="1" ht="13.5" thickBot="1">
      <c r="A123" s="433"/>
      <c r="B123" s="429"/>
      <c r="C123" s="50" t="s">
        <v>2</v>
      </c>
      <c r="D123" s="173">
        <v>25647.78</v>
      </c>
      <c r="E123" s="173">
        <v>52933.41</v>
      </c>
      <c r="F123" s="173">
        <v>41083.07</v>
      </c>
      <c r="G123" s="173">
        <v>34013.35</v>
      </c>
      <c r="H123" s="173">
        <v>60633.57</v>
      </c>
      <c r="I123" s="173">
        <v>41634.31</v>
      </c>
      <c r="J123" s="173">
        <v>50463.74</v>
      </c>
      <c r="K123" s="173">
        <f>1.18+67604.66</f>
        <v>67605.84</v>
      </c>
      <c r="L123" s="173">
        <v>52707.77</v>
      </c>
      <c r="M123" s="335">
        <f t="shared" si="46"/>
        <v>426722.83999999997</v>
      </c>
    </row>
    <row r="124" spans="1:13" s="4" customFormat="1" ht="13.5" thickBot="1">
      <c r="A124" s="433"/>
      <c r="B124" s="429"/>
      <c r="C124" s="48" t="s">
        <v>4</v>
      </c>
      <c r="D124" s="173">
        <f>+D122</f>
        <v>27157.08</v>
      </c>
      <c r="E124" s="173">
        <f aca="true" t="shared" si="49" ref="E124:L124">+E122</f>
        <v>60484.86</v>
      </c>
      <c r="F124" s="173">
        <f t="shared" si="49"/>
        <v>43198.03</v>
      </c>
      <c r="G124" s="173">
        <f t="shared" si="49"/>
        <v>34372.75</v>
      </c>
      <c r="H124" s="173">
        <f t="shared" si="49"/>
        <v>57354.83</v>
      </c>
      <c r="I124" s="173">
        <f t="shared" si="49"/>
        <v>45428.26</v>
      </c>
      <c r="J124" s="173">
        <f t="shared" si="49"/>
        <v>49092.71</v>
      </c>
      <c r="K124" s="173">
        <f t="shared" si="49"/>
        <v>66927.54</v>
      </c>
      <c r="L124" s="173">
        <f t="shared" si="49"/>
        <v>51102.22</v>
      </c>
      <c r="M124" s="335">
        <f t="shared" si="46"/>
        <v>435118.27999999997</v>
      </c>
    </row>
    <row r="125" spans="1:13" s="4" customFormat="1" ht="13.5" thickBot="1">
      <c r="A125" s="433"/>
      <c r="B125" s="429"/>
      <c r="C125" s="48" t="s">
        <v>3</v>
      </c>
      <c r="D125" s="173">
        <f>+D123</f>
        <v>25647.78</v>
      </c>
      <c r="E125" s="173">
        <f aca="true" t="shared" si="50" ref="E125:L125">+E123</f>
        <v>52933.41</v>
      </c>
      <c r="F125" s="173">
        <f t="shared" si="50"/>
        <v>41083.07</v>
      </c>
      <c r="G125" s="173">
        <f t="shared" si="50"/>
        <v>34013.35</v>
      </c>
      <c r="H125" s="173">
        <f>H124+H121</f>
        <v>65891.41</v>
      </c>
      <c r="I125" s="173">
        <f t="shared" si="50"/>
        <v>41634.31</v>
      </c>
      <c r="J125" s="173">
        <f t="shared" si="50"/>
        <v>50463.74</v>
      </c>
      <c r="K125" s="173">
        <f t="shared" si="50"/>
        <v>67605.84</v>
      </c>
      <c r="L125" s="173">
        <f t="shared" si="50"/>
        <v>52707.77</v>
      </c>
      <c r="M125" s="335">
        <f t="shared" si="46"/>
        <v>431980.67999999993</v>
      </c>
    </row>
    <row r="126" spans="1:13" s="3" customFormat="1" ht="13.5" thickBot="1">
      <c r="A126" s="433"/>
      <c r="B126" s="429"/>
      <c r="C126" s="63" t="s">
        <v>199</v>
      </c>
      <c r="D126" s="75">
        <f aca="true" t="shared" si="51" ref="D126:M126">D121+D122-D123</f>
        <v>4408.990000000002</v>
      </c>
      <c r="E126" s="75">
        <f t="shared" si="51"/>
        <v>20319.679999999993</v>
      </c>
      <c r="F126" s="75">
        <f t="shared" si="51"/>
        <v>30099.250000000007</v>
      </c>
      <c r="G126" s="75">
        <f t="shared" si="51"/>
        <v>1890.489999999998</v>
      </c>
      <c r="H126" s="75">
        <f t="shared" si="51"/>
        <v>5257.840000000004</v>
      </c>
      <c r="I126" s="75">
        <f t="shared" si="51"/>
        <v>10873.190000000002</v>
      </c>
      <c r="J126" s="75">
        <f t="shared" si="51"/>
        <v>9354.742000000006</v>
      </c>
      <c r="K126" s="75">
        <f t="shared" si="51"/>
        <v>21271.789999999994</v>
      </c>
      <c r="L126" s="75">
        <f t="shared" si="51"/>
        <v>6259.780000000006</v>
      </c>
      <c r="M126" s="75">
        <f t="shared" si="51"/>
        <v>109735.75199999998</v>
      </c>
    </row>
    <row r="127" spans="1:13" s="4" customFormat="1" ht="13.5" thickBot="1">
      <c r="A127" s="433"/>
      <c r="B127" s="429" t="s">
        <v>19</v>
      </c>
      <c r="C127" s="49" t="s">
        <v>175</v>
      </c>
      <c r="D127" s="179">
        <v>3358.14</v>
      </c>
      <c r="E127" s="221">
        <v>13001.51</v>
      </c>
      <c r="F127" s="179">
        <v>26132.1</v>
      </c>
      <c r="G127" s="221">
        <v>1773.19</v>
      </c>
      <c r="H127" s="179">
        <v>9938.92</v>
      </c>
      <c r="I127" s="176">
        <v>8201.7</v>
      </c>
      <c r="J127" s="179">
        <v>12652.55</v>
      </c>
      <c r="K127" s="176">
        <f>-0.2+27005.03</f>
        <v>27004.829999999998</v>
      </c>
      <c r="L127" s="179">
        <v>8744.69</v>
      </c>
      <c r="M127" s="335">
        <f t="shared" si="46"/>
        <v>110807.62999999998</v>
      </c>
    </row>
    <row r="128" spans="1:13" s="4" customFormat="1" ht="13.5" thickBot="1">
      <c r="A128" s="433"/>
      <c r="B128" s="429"/>
      <c r="C128" s="48" t="s">
        <v>1</v>
      </c>
      <c r="D128" s="177">
        <v>31450.68</v>
      </c>
      <c r="E128" s="177">
        <v>60628.22</v>
      </c>
      <c r="F128" s="221">
        <v>45631.61</v>
      </c>
      <c r="G128" s="177">
        <v>39807.13</v>
      </c>
      <c r="H128" s="221">
        <v>66381.28</v>
      </c>
      <c r="I128" s="177">
        <v>52610.44</v>
      </c>
      <c r="J128" s="221">
        <v>56854.39</v>
      </c>
      <c r="K128" s="177">
        <f>2201.04+80574.4</f>
        <v>82775.43999999999</v>
      </c>
      <c r="L128" s="221">
        <v>59181.63</v>
      </c>
      <c r="M128" s="335">
        <f t="shared" si="46"/>
        <v>495320.8199999999</v>
      </c>
    </row>
    <row r="129" spans="1:13" s="4" customFormat="1" ht="13.5" thickBot="1">
      <c r="A129" s="433"/>
      <c r="B129" s="429"/>
      <c r="C129" s="50" t="s">
        <v>2</v>
      </c>
      <c r="D129" s="177">
        <v>29702.74</v>
      </c>
      <c r="E129" s="221">
        <v>54951.08</v>
      </c>
      <c r="F129" s="177">
        <v>42250.76</v>
      </c>
      <c r="G129" s="221">
        <v>39390.98</v>
      </c>
      <c r="H129" s="177">
        <v>70231.07</v>
      </c>
      <c r="I129" s="177">
        <v>48217.48</v>
      </c>
      <c r="J129" s="177">
        <v>58503.24</v>
      </c>
      <c r="K129" s="177">
        <f>2200.84+80549.43</f>
        <v>82750.26999999999</v>
      </c>
      <c r="L129" s="177">
        <v>61041.01</v>
      </c>
      <c r="M129" s="335">
        <f t="shared" si="46"/>
        <v>487038.63</v>
      </c>
    </row>
    <row r="130" spans="1:13" s="4" customFormat="1" ht="13.5" thickBot="1">
      <c r="A130" s="433"/>
      <c r="B130" s="429"/>
      <c r="C130" s="48" t="s">
        <v>4</v>
      </c>
      <c r="D130" s="173">
        <f>+D128</f>
        <v>31450.68</v>
      </c>
      <c r="E130" s="173">
        <f aca="true" t="shared" si="52" ref="E130:L130">+E128</f>
        <v>60628.22</v>
      </c>
      <c r="F130" s="173">
        <f t="shared" si="52"/>
        <v>45631.61</v>
      </c>
      <c r="G130" s="173">
        <f t="shared" si="52"/>
        <v>39807.13</v>
      </c>
      <c r="H130" s="173">
        <f t="shared" si="52"/>
        <v>66381.28</v>
      </c>
      <c r="I130" s="173">
        <f t="shared" si="52"/>
        <v>52610.44</v>
      </c>
      <c r="J130" s="173">
        <f t="shared" si="52"/>
        <v>56854.39</v>
      </c>
      <c r="K130" s="173">
        <f t="shared" si="52"/>
        <v>82775.43999999999</v>
      </c>
      <c r="L130" s="173">
        <f t="shared" si="52"/>
        <v>59181.63</v>
      </c>
      <c r="M130" s="335">
        <f t="shared" si="46"/>
        <v>495320.8199999999</v>
      </c>
    </row>
    <row r="131" spans="1:13" s="4" customFormat="1" ht="13.5" thickBot="1">
      <c r="A131" s="433"/>
      <c r="B131" s="429"/>
      <c r="C131" s="48" t="s">
        <v>3</v>
      </c>
      <c r="D131" s="173">
        <f>+D129</f>
        <v>29702.74</v>
      </c>
      <c r="E131" s="173">
        <f aca="true" t="shared" si="53" ref="E131:L131">+E129</f>
        <v>54951.08</v>
      </c>
      <c r="F131" s="173">
        <f t="shared" si="53"/>
        <v>42250.76</v>
      </c>
      <c r="G131" s="173">
        <f t="shared" si="53"/>
        <v>39390.98</v>
      </c>
      <c r="H131" s="173">
        <f>H130+H127</f>
        <v>76320.2</v>
      </c>
      <c r="I131" s="173">
        <f t="shared" si="53"/>
        <v>48217.48</v>
      </c>
      <c r="J131" s="173">
        <f t="shared" si="53"/>
        <v>58503.24</v>
      </c>
      <c r="K131" s="173">
        <f t="shared" si="53"/>
        <v>82750.26999999999</v>
      </c>
      <c r="L131" s="173">
        <f t="shared" si="53"/>
        <v>61041.01</v>
      </c>
      <c r="M131" s="335">
        <f t="shared" si="46"/>
        <v>493127.76</v>
      </c>
    </row>
    <row r="132" spans="1:13" s="3" customFormat="1" ht="13.5" thickBot="1">
      <c r="A132" s="433"/>
      <c r="B132" s="429"/>
      <c r="C132" s="63" t="s">
        <v>199</v>
      </c>
      <c r="D132" s="75">
        <f aca="true" t="shared" si="54" ref="D132:M132">D127+D128-D129</f>
        <v>5106.079999999998</v>
      </c>
      <c r="E132" s="75">
        <f t="shared" si="54"/>
        <v>18678.649999999994</v>
      </c>
      <c r="F132" s="75">
        <f t="shared" si="54"/>
        <v>29512.94999999999</v>
      </c>
      <c r="G132" s="75">
        <f t="shared" si="54"/>
        <v>2189.3399999999965</v>
      </c>
      <c r="H132" s="75">
        <f t="shared" si="54"/>
        <v>6089.12999999999</v>
      </c>
      <c r="I132" s="75">
        <f t="shared" si="54"/>
        <v>12594.659999999996</v>
      </c>
      <c r="J132" s="75">
        <f t="shared" si="54"/>
        <v>11003.700000000004</v>
      </c>
      <c r="K132" s="75">
        <f t="shared" si="54"/>
        <v>27030</v>
      </c>
      <c r="L132" s="75">
        <f t="shared" si="54"/>
        <v>6885.30999999999</v>
      </c>
      <c r="M132" s="75">
        <f t="shared" si="54"/>
        <v>119089.81999999983</v>
      </c>
    </row>
    <row r="133" spans="1:13" s="24" customFormat="1" ht="12.75" customHeight="1" hidden="1" thickBot="1">
      <c r="A133" s="433"/>
      <c r="B133" s="429" t="s">
        <v>40</v>
      </c>
      <c r="C133" s="49" t="s">
        <v>156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335">
        <f t="shared" si="46"/>
        <v>0</v>
      </c>
    </row>
    <row r="134" spans="1:13" s="24" customFormat="1" ht="13.5" customHeight="1" hidden="1" thickBot="1">
      <c r="A134" s="433"/>
      <c r="B134" s="429"/>
      <c r="C134" s="48" t="s">
        <v>1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335">
        <f t="shared" si="46"/>
        <v>0</v>
      </c>
    </row>
    <row r="135" spans="1:13" s="24" customFormat="1" ht="13.5" customHeight="1" hidden="1" thickBot="1">
      <c r="A135" s="433"/>
      <c r="B135" s="429"/>
      <c r="C135" s="50" t="s">
        <v>2</v>
      </c>
      <c r="D135" s="82"/>
      <c r="E135" s="82"/>
      <c r="F135" s="82"/>
      <c r="G135" s="82"/>
      <c r="H135" s="82"/>
      <c r="I135" s="82"/>
      <c r="J135" s="82"/>
      <c r="K135" s="82"/>
      <c r="L135" s="82"/>
      <c r="M135" s="335">
        <f t="shared" si="46"/>
        <v>0</v>
      </c>
    </row>
    <row r="136" spans="1:14" s="24" customFormat="1" ht="13.5" customHeight="1" hidden="1" thickBot="1">
      <c r="A136" s="433"/>
      <c r="B136" s="429"/>
      <c r="C136" s="48" t="s">
        <v>4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335">
        <f t="shared" si="46"/>
        <v>0</v>
      </c>
      <c r="N136" s="28"/>
    </row>
    <row r="137" spans="1:13" s="24" customFormat="1" ht="13.5" customHeight="1" hidden="1" thickBot="1">
      <c r="A137" s="433"/>
      <c r="B137" s="429"/>
      <c r="C137" s="48" t="s">
        <v>3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335">
        <f t="shared" si="46"/>
        <v>0</v>
      </c>
    </row>
    <row r="138" spans="1:13" s="3" customFormat="1" ht="13.5" customHeight="1" hidden="1" thickBot="1">
      <c r="A138" s="433"/>
      <c r="B138" s="429"/>
      <c r="C138" s="63" t="s">
        <v>160</v>
      </c>
      <c r="D138" s="67">
        <f aca="true" t="shared" si="55" ref="D138:L138">D133+D134-D135</f>
        <v>0</v>
      </c>
      <c r="E138" s="67">
        <f t="shared" si="55"/>
        <v>0</v>
      </c>
      <c r="F138" s="67">
        <f t="shared" si="55"/>
        <v>0</v>
      </c>
      <c r="G138" s="67">
        <f t="shared" si="55"/>
        <v>0</v>
      </c>
      <c r="H138" s="67">
        <f t="shared" si="55"/>
        <v>0</v>
      </c>
      <c r="I138" s="67">
        <f t="shared" si="55"/>
        <v>0</v>
      </c>
      <c r="J138" s="67">
        <f t="shared" si="55"/>
        <v>0</v>
      </c>
      <c r="K138" s="67">
        <f t="shared" si="55"/>
        <v>0</v>
      </c>
      <c r="L138" s="67">
        <f t="shared" si="55"/>
        <v>0</v>
      </c>
      <c r="M138" s="335">
        <f t="shared" si="46"/>
        <v>0</v>
      </c>
    </row>
    <row r="139" spans="1:13" s="24" customFormat="1" ht="13.5" customHeight="1" hidden="1" thickBot="1">
      <c r="A139" s="433"/>
      <c r="B139" s="429" t="s">
        <v>18</v>
      </c>
      <c r="C139" s="49" t="s">
        <v>156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335">
        <f t="shared" si="46"/>
        <v>0</v>
      </c>
    </row>
    <row r="140" spans="1:13" s="24" customFormat="1" ht="13.5" customHeight="1" hidden="1" thickBot="1">
      <c r="A140" s="433"/>
      <c r="B140" s="429"/>
      <c r="C140" s="48" t="s">
        <v>1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335">
        <f t="shared" si="46"/>
        <v>0</v>
      </c>
    </row>
    <row r="141" spans="1:13" s="24" customFormat="1" ht="13.5" customHeight="1" hidden="1" thickBot="1">
      <c r="A141" s="433"/>
      <c r="B141" s="429"/>
      <c r="C141" s="50" t="s">
        <v>2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335">
        <f t="shared" si="46"/>
        <v>0</v>
      </c>
    </row>
    <row r="142" spans="1:14" s="24" customFormat="1" ht="13.5" customHeight="1" hidden="1" thickBot="1">
      <c r="A142" s="433"/>
      <c r="B142" s="429"/>
      <c r="C142" s="48" t="s">
        <v>4</v>
      </c>
      <c r="D142" s="82"/>
      <c r="E142" s="82"/>
      <c r="F142" s="82"/>
      <c r="G142" s="82"/>
      <c r="H142" s="82"/>
      <c r="I142" s="82"/>
      <c r="J142" s="82"/>
      <c r="K142" s="82"/>
      <c r="L142" s="82"/>
      <c r="M142" s="335">
        <f t="shared" si="46"/>
        <v>0</v>
      </c>
      <c r="N142" s="28"/>
    </row>
    <row r="143" spans="1:13" s="24" customFormat="1" ht="13.5" customHeight="1" hidden="1" thickBot="1">
      <c r="A143" s="433"/>
      <c r="B143" s="429"/>
      <c r="C143" s="48" t="s">
        <v>3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335">
        <f t="shared" si="46"/>
        <v>0</v>
      </c>
    </row>
    <row r="144" spans="1:13" s="3" customFormat="1" ht="13.5" customHeight="1" hidden="1" thickBot="1">
      <c r="A144" s="433"/>
      <c r="B144" s="429"/>
      <c r="C144" s="63" t="s">
        <v>160</v>
      </c>
      <c r="D144" s="67">
        <f aca="true" t="shared" si="56" ref="D144:L144">D139+D140-D141</f>
        <v>0</v>
      </c>
      <c r="E144" s="67">
        <f t="shared" si="56"/>
        <v>0</v>
      </c>
      <c r="F144" s="67">
        <f t="shared" si="56"/>
        <v>0</v>
      </c>
      <c r="G144" s="67">
        <f t="shared" si="56"/>
        <v>0</v>
      </c>
      <c r="H144" s="67">
        <f t="shared" si="56"/>
        <v>0</v>
      </c>
      <c r="I144" s="67">
        <f t="shared" si="56"/>
        <v>0</v>
      </c>
      <c r="J144" s="67"/>
      <c r="K144" s="67"/>
      <c r="L144" s="67">
        <f t="shared" si="56"/>
        <v>0</v>
      </c>
      <c r="M144" s="335">
        <f t="shared" si="46"/>
        <v>0</v>
      </c>
    </row>
    <row r="145" spans="1:13" s="24" customFormat="1" ht="13.5" customHeight="1" hidden="1" thickBot="1">
      <c r="A145" s="433"/>
      <c r="B145" s="429" t="s">
        <v>19</v>
      </c>
      <c r="C145" s="49" t="s">
        <v>156</v>
      </c>
      <c r="D145" s="82"/>
      <c r="E145" s="82"/>
      <c r="F145" s="82"/>
      <c r="G145" s="82"/>
      <c r="H145" s="82"/>
      <c r="I145" s="82"/>
      <c r="J145" s="82"/>
      <c r="K145" s="82"/>
      <c r="L145" s="82"/>
      <c r="M145" s="335">
        <f t="shared" si="46"/>
        <v>0</v>
      </c>
    </row>
    <row r="146" spans="1:13" s="24" customFormat="1" ht="13.5" customHeight="1" hidden="1" thickBot="1">
      <c r="A146" s="433"/>
      <c r="B146" s="429"/>
      <c r="C146" s="48" t="s">
        <v>1</v>
      </c>
      <c r="D146" s="82"/>
      <c r="E146" s="82"/>
      <c r="F146" s="82"/>
      <c r="G146" s="82"/>
      <c r="H146" s="82"/>
      <c r="I146" s="82"/>
      <c r="J146" s="82"/>
      <c r="K146" s="82"/>
      <c r="L146" s="82"/>
      <c r="M146" s="335">
        <f t="shared" si="46"/>
        <v>0</v>
      </c>
    </row>
    <row r="147" spans="1:13" s="24" customFormat="1" ht="13.5" customHeight="1" hidden="1" thickBot="1">
      <c r="A147" s="433"/>
      <c r="B147" s="429"/>
      <c r="C147" s="50" t="s">
        <v>2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335">
        <f t="shared" si="46"/>
        <v>0</v>
      </c>
    </row>
    <row r="148" spans="1:14" s="24" customFormat="1" ht="13.5" customHeight="1" hidden="1" thickBot="1">
      <c r="A148" s="433"/>
      <c r="B148" s="429"/>
      <c r="C148" s="48" t="s">
        <v>4</v>
      </c>
      <c r="D148" s="82"/>
      <c r="E148" s="82"/>
      <c r="F148" s="82"/>
      <c r="G148" s="82"/>
      <c r="H148" s="82"/>
      <c r="I148" s="82"/>
      <c r="J148" s="82"/>
      <c r="K148" s="82"/>
      <c r="L148" s="82"/>
      <c r="M148" s="335">
        <f t="shared" si="46"/>
        <v>0</v>
      </c>
      <c r="N148" s="28"/>
    </row>
    <row r="149" spans="1:13" s="24" customFormat="1" ht="13.5" customHeight="1" hidden="1" thickBot="1">
      <c r="A149" s="433"/>
      <c r="B149" s="429"/>
      <c r="C149" s="48" t="s">
        <v>3</v>
      </c>
      <c r="D149" s="82"/>
      <c r="E149" s="82"/>
      <c r="F149" s="82"/>
      <c r="G149" s="82"/>
      <c r="H149" s="82"/>
      <c r="I149" s="82"/>
      <c r="J149" s="82"/>
      <c r="K149" s="82"/>
      <c r="L149" s="82"/>
      <c r="M149" s="335">
        <f t="shared" si="46"/>
        <v>0</v>
      </c>
    </row>
    <row r="150" spans="1:13" s="3" customFormat="1" ht="13.5" customHeight="1" hidden="1" thickBot="1">
      <c r="A150" s="435"/>
      <c r="B150" s="429"/>
      <c r="C150" s="63" t="s">
        <v>160</v>
      </c>
      <c r="D150" s="67">
        <f aca="true" t="shared" si="57" ref="D150:L150">D145+D146-D147</f>
        <v>0</v>
      </c>
      <c r="E150" s="67">
        <f t="shared" si="57"/>
        <v>0</v>
      </c>
      <c r="F150" s="67">
        <f t="shared" si="57"/>
        <v>0</v>
      </c>
      <c r="G150" s="67">
        <f t="shared" si="57"/>
        <v>0</v>
      </c>
      <c r="H150" s="67">
        <f t="shared" si="57"/>
        <v>0</v>
      </c>
      <c r="I150" s="67">
        <f t="shared" si="57"/>
        <v>0</v>
      </c>
      <c r="J150" s="67"/>
      <c r="K150" s="67"/>
      <c r="L150" s="67">
        <f t="shared" si="57"/>
        <v>0</v>
      </c>
      <c r="M150" s="335">
        <f t="shared" si="46"/>
        <v>0</v>
      </c>
    </row>
    <row r="151" spans="1:13" s="24" customFormat="1" ht="13.5" customHeight="1" hidden="1" thickBot="1">
      <c r="A151" s="428" t="s">
        <v>20</v>
      </c>
      <c r="B151" s="429" t="s">
        <v>21</v>
      </c>
      <c r="C151" s="49" t="s">
        <v>156</v>
      </c>
      <c r="D151" s="82"/>
      <c r="E151" s="82"/>
      <c r="F151" s="82"/>
      <c r="G151" s="82"/>
      <c r="H151" s="82"/>
      <c r="I151" s="82"/>
      <c r="J151" s="82"/>
      <c r="K151" s="82"/>
      <c r="L151" s="82"/>
      <c r="M151" s="335">
        <f t="shared" si="46"/>
        <v>0</v>
      </c>
    </row>
    <row r="152" spans="1:13" s="24" customFormat="1" ht="13.5" customHeight="1" hidden="1" thickBot="1">
      <c r="A152" s="428"/>
      <c r="B152" s="429"/>
      <c r="C152" s="48" t="s">
        <v>1</v>
      </c>
      <c r="D152" s="82"/>
      <c r="E152" s="82"/>
      <c r="F152" s="82"/>
      <c r="G152" s="82"/>
      <c r="H152" s="82"/>
      <c r="I152" s="82"/>
      <c r="J152" s="82"/>
      <c r="K152" s="82"/>
      <c r="L152" s="82"/>
      <c r="M152" s="335">
        <f t="shared" si="46"/>
        <v>0</v>
      </c>
    </row>
    <row r="153" spans="1:13" s="24" customFormat="1" ht="13.5" customHeight="1" hidden="1" thickBot="1">
      <c r="A153" s="428"/>
      <c r="B153" s="429"/>
      <c r="C153" s="50" t="s">
        <v>2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335">
        <f t="shared" si="46"/>
        <v>0</v>
      </c>
    </row>
    <row r="154" spans="1:13" s="24" customFormat="1" ht="13.5" customHeight="1" hidden="1" thickBot="1">
      <c r="A154" s="428"/>
      <c r="B154" s="429"/>
      <c r="C154" s="48" t="s">
        <v>4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335">
        <f t="shared" si="46"/>
        <v>0</v>
      </c>
    </row>
    <row r="155" spans="1:13" s="24" customFormat="1" ht="13.5" customHeight="1" hidden="1" thickBot="1">
      <c r="A155" s="428"/>
      <c r="B155" s="429"/>
      <c r="C155" s="48" t="s">
        <v>3</v>
      </c>
      <c r="D155" s="82"/>
      <c r="E155" s="82"/>
      <c r="F155" s="82"/>
      <c r="G155" s="82"/>
      <c r="H155" s="82"/>
      <c r="I155" s="82"/>
      <c r="J155" s="82"/>
      <c r="K155" s="82"/>
      <c r="L155" s="82"/>
      <c r="M155" s="335">
        <f t="shared" si="46"/>
        <v>0</v>
      </c>
    </row>
    <row r="156" spans="1:13" s="3" customFormat="1" ht="13.5" customHeight="1" hidden="1" thickBot="1">
      <c r="A156" s="428"/>
      <c r="B156" s="429"/>
      <c r="C156" s="63" t="s">
        <v>160</v>
      </c>
      <c r="D156" s="67">
        <f aca="true" t="shared" si="58" ref="D156:L156">D151+D152-D153</f>
        <v>0</v>
      </c>
      <c r="E156" s="67">
        <f t="shared" si="58"/>
        <v>0</v>
      </c>
      <c r="F156" s="67">
        <f t="shared" si="58"/>
        <v>0</v>
      </c>
      <c r="G156" s="67">
        <f t="shared" si="58"/>
        <v>0</v>
      </c>
      <c r="H156" s="67">
        <f t="shared" si="58"/>
        <v>0</v>
      </c>
      <c r="I156" s="67">
        <f t="shared" si="58"/>
        <v>0</v>
      </c>
      <c r="J156" s="67"/>
      <c r="K156" s="67"/>
      <c r="L156" s="67">
        <f t="shared" si="58"/>
        <v>0</v>
      </c>
      <c r="M156" s="335">
        <f t="shared" si="46"/>
        <v>0</v>
      </c>
    </row>
    <row r="157" spans="1:13" s="24" customFormat="1" ht="12.75" customHeight="1" hidden="1" thickBot="1">
      <c r="A157" s="428" t="s">
        <v>22</v>
      </c>
      <c r="B157" s="429" t="s">
        <v>21</v>
      </c>
      <c r="C157" s="49" t="s">
        <v>156</v>
      </c>
      <c r="D157" s="82"/>
      <c r="E157" s="82"/>
      <c r="F157" s="82"/>
      <c r="G157" s="82"/>
      <c r="H157" s="82"/>
      <c r="I157" s="82"/>
      <c r="J157" s="82"/>
      <c r="K157" s="82"/>
      <c r="L157" s="82"/>
      <c r="M157" s="335">
        <f t="shared" si="46"/>
        <v>0</v>
      </c>
    </row>
    <row r="158" spans="1:13" s="24" customFormat="1" ht="13.5" customHeight="1" hidden="1" thickBot="1">
      <c r="A158" s="428"/>
      <c r="B158" s="429"/>
      <c r="C158" s="48" t="s">
        <v>1</v>
      </c>
      <c r="D158" s="82"/>
      <c r="E158" s="82"/>
      <c r="F158" s="82"/>
      <c r="G158" s="82"/>
      <c r="H158" s="82"/>
      <c r="I158" s="82"/>
      <c r="J158" s="82"/>
      <c r="K158" s="82"/>
      <c r="L158" s="82"/>
      <c r="M158" s="335">
        <f t="shared" si="46"/>
        <v>0</v>
      </c>
    </row>
    <row r="159" spans="1:13" s="24" customFormat="1" ht="13.5" customHeight="1" hidden="1" thickBot="1">
      <c r="A159" s="428"/>
      <c r="B159" s="429"/>
      <c r="C159" s="50" t="s">
        <v>2</v>
      </c>
      <c r="D159" s="82"/>
      <c r="E159" s="82"/>
      <c r="F159" s="82"/>
      <c r="G159" s="82"/>
      <c r="H159" s="82"/>
      <c r="I159" s="82"/>
      <c r="J159" s="82"/>
      <c r="K159" s="82"/>
      <c r="L159" s="82"/>
      <c r="M159" s="335">
        <f t="shared" si="46"/>
        <v>0</v>
      </c>
    </row>
    <row r="160" spans="1:13" s="24" customFormat="1" ht="13.5" customHeight="1" hidden="1" thickBot="1">
      <c r="A160" s="428"/>
      <c r="B160" s="429"/>
      <c r="C160" s="48" t="s">
        <v>4</v>
      </c>
      <c r="D160" s="82"/>
      <c r="E160" s="82"/>
      <c r="F160" s="82"/>
      <c r="G160" s="82"/>
      <c r="H160" s="82"/>
      <c r="I160" s="82"/>
      <c r="J160" s="82"/>
      <c r="K160" s="82"/>
      <c r="L160" s="82"/>
      <c r="M160" s="335">
        <f t="shared" si="46"/>
        <v>0</v>
      </c>
    </row>
    <row r="161" spans="1:13" s="24" customFormat="1" ht="13.5" customHeight="1" hidden="1" thickBot="1">
      <c r="A161" s="428"/>
      <c r="B161" s="429"/>
      <c r="C161" s="48" t="s">
        <v>3</v>
      </c>
      <c r="D161" s="82"/>
      <c r="E161" s="82"/>
      <c r="F161" s="82"/>
      <c r="G161" s="82"/>
      <c r="H161" s="82"/>
      <c r="I161" s="82"/>
      <c r="J161" s="82"/>
      <c r="K161" s="82"/>
      <c r="L161" s="82"/>
      <c r="M161" s="335">
        <f t="shared" si="46"/>
        <v>0</v>
      </c>
    </row>
    <row r="162" spans="1:13" s="3" customFormat="1" ht="13.5" customHeight="1" hidden="1" thickBot="1">
      <c r="A162" s="428"/>
      <c r="B162" s="429"/>
      <c r="C162" s="63" t="s">
        <v>160</v>
      </c>
      <c r="D162" s="74">
        <f aca="true" t="shared" si="59" ref="D162:L162">D157+D158-D159</f>
        <v>0</v>
      </c>
      <c r="E162" s="74">
        <f t="shared" si="59"/>
        <v>0</v>
      </c>
      <c r="F162" s="74">
        <f t="shared" si="59"/>
        <v>0</v>
      </c>
      <c r="G162" s="74">
        <f t="shared" si="59"/>
        <v>0</v>
      </c>
      <c r="H162" s="74">
        <f t="shared" si="59"/>
        <v>0</v>
      </c>
      <c r="I162" s="74">
        <f t="shared" si="59"/>
        <v>0</v>
      </c>
      <c r="J162" s="74"/>
      <c r="K162" s="74"/>
      <c r="L162" s="74">
        <f t="shared" si="59"/>
        <v>0</v>
      </c>
      <c r="M162" s="335">
        <f t="shared" si="46"/>
        <v>0</v>
      </c>
    </row>
    <row r="163" spans="1:13" s="3" customFormat="1" ht="13.5" customHeight="1">
      <c r="A163" s="450" t="s">
        <v>142</v>
      </c>
      <c r="B163" s="454" t="s">
        <v>165</v>
      </c>
      <c r="C163" s="49" t="s">
        <v>175</v>
      </c>
      <c r="D163" s="173">
        <f>-0.01+183.37</f>
        <v>183.36</v>
      </c>
      <c r="E163" s="173">
        <f>80.25+737.38</f>
        <v>817.63</v>
      </c>
      <c r="F163" s="173">
        <v>379.43</v>
      </c>
      <c r="G163" s="173">
        <f>-287.25+96.92</f>
        <v>-190.32999999999998</v>
      </c>
      <c r="H163" s="173">
        <f>18.81+560.83</f>
        <v>579.64</v>
      </c>
      <c r="I163" s="173">
        <f>-8.43+449.54</f>
        <v>441.11</v>
      </c>
      <c r="J163" s="173">
        <f>255.27+722.4</f>
        <v>977.67</v>
      </c>
      <c r="K163" s="173">
        <f>494.24+1476.64</f>
        <v>1970.88</v>
      </c>
      <c r="L163" s="173">
        <v>449.94</v>
      </c>
      <c r="M163" s="335">
        <f t="shared" si="46"/>
        <v>5609.330000000001</v>
      </c>
    </row>
    <row r="164" spans="1:13" s="3" customFormat="1" ht="13.5" customHeight="1">
      <c r="A164" s="451"/>
      <c r="B164" s="455"/>
      <c r="C164" s="48" t="s">
        <v>1</v>
      </c>
      <c r="D164" s="173">
        <f>0.01+1717.44</f>
        <v>1717.45</v>
      </c>
      <c r="E164" s="173">
        <f>-68.44+3825.04</f>
        <v>3756.6</v>
      </c>
      <c r="F164" s="173">
        <v>-368.08</v>
      </c>
      <c r="G164" s="173">
        <f>287.25+2173.89</f>
        <v>2461.14</v>
      </c>
      <c r="H164" s="173">
        <f>-4.45+3610.67</f>
        <v>3606.2200000000003</v>
      </c>
      <c r="I164" s="173">
        <f>8.43+2873.06</f>
        <v>2881.49</v>
      </c>
      <c r="J164" s="173">
        <f>-173.04+3104.67</f>
        <v>2931.63</v>
      </c>
      <c r="K164" s="173">
        <f>-436.05+4520.09</f>
        <v>4084.04</v>
      </c>
      <c r="L164" s="173">
        <v>3232</v>
      </c>
      <c r="M164" s="335">
        <f t="shared" si="46"/>
        <v>24302.489999999998</v>
      </c>
    </row>
    <row r="165" spans="1:13" s="3" customFormat="1" ht="13.5" customHeight="1">
      <c r="A165" s="451"/>
      <c r="B165" s="455"/>
      <c r="C165" s="50" t="s">
        <v>2</v>
      </c>
      <c r="D165" s="173">
        <v>1622</v>
      </c>
      <c r="E165" s="173">
        <f>11.81+3347.4</f>
        <v>3359.21</v>
      </c>
      <c r="F165" s="173">
        <v>11.35</v>
      </c>
      <c r="G165" s="173">
        <v>2151.22</v>
      </c>
      <c r="H165" s="173">
        <f>14.36+3838.98</f>
        <v>3853.34</v>
      </c>
      <c r="I165" s="173">
        <v>2633.53</v>
      </c>
      <c r="J165" s="173">
        <f>82.23+3202.36</f>
        <v>3284.59</v>
      </c>
      <c r="K165" s="173">
        <f>58.19+4562.98</f>
        <v>4621.169999999999</v>
      </c>
      <c r="L165" s="173">
        <v>3333.57</v>
      </c>
      <c r="M165" s="335">
        <f t="shared" si="46"/>
        <v>24869.98</v>
      </c>
    </row>
    <row r="166" spans="1:13" s="3" customFormat="1" ht="13.5" customHeight="1">
      <c r="A166" s="451"/>
      <c r="B166" s="455"/>
      <c r="C166" s="48" t="s">
        <v>4</v>
      </c>
      <c r="D166" s="173">
        <f>+D164</f>
        <v>1717.45</v>
      </c>
      <c r="E166" s="173">
        <f aca="true" t="shared" si="60" ref="E166:L166">+E164</f>
        <v>3756.6</v>
      </c>
      <c r="F166" s="173">
        <f>+F164</f>
        <v>-368.08</v>
      </c>
      <c r="G166" s="173">
        <f t="shared" si="60"/>
        <v>2461.14</v>
      </c>
      <c r="H166" s="173">
        <f t="shared" si="60"/>
        <v>3606.2200000000003</v>
      </c>
      <c r="I166" s="173">
        <f t="shared" si="60"/>
        <v>2881.49</v>
      </c>
      <c r="J166" s="173">
        <f t="shared" si="60"/>
        <v>2931.63</v>
      </c>
      <c r="K166" s="173">
        <f t="shared" si="60"/>
        <v>4084.04</v>
      </c>
      <c r="L166" s="173">
        <f t="shared" si="60"/>
        <v>3232</v>
      </c>
      <c r="M166" s="335">
        <f t="shared" si="46"/>
        <v>24302.489999999998</v>
      </c>
    </row>
    <row r="167" spans="1:13" s="3" customFormat="1" ht="13.5" customHeight="1">
      <c r="A167" s="451"/>
      <c r="B167" s="455"/>
      <c r="C167" s="48" t="s">
        <v>3</v>
      </c>
      <c r="D167" s="173">
        <f>+D165</f>
        <v>1622</v>
      </c>
      <c r="E167" s="173">
        <f aca="true" t="shared" si="61" ref="E167:L167">+E165</f>
        <v>3359.21</v>
      </c>
      <c r="F167" s="173">
        <f>+F165</f>
        <v>11.35</v>
      </c>
      <c r="G167" s="173">
        <f t="shared" si="61"/>
        <v>2151.22</v>
      </c>
      <c r="H167" s="173">
        <f t="shared" si="61"/>
        <v>3853.34</v>
      </c>
      <c r="I167" s="173">
        <f t="shared" si="61"/>
        <v>2633.53</v>
      </c>
      <c r="J167" s="173">
        <f t="shared" si="61"/>
        <v>3284.59</v>
      </c>
      <c r="K167" s="173">
        <f t="shared" si="61"/>
        <v>4621.169999999999</v>
      </c>
      <c r="L167" s="173">
        <f t="shared" si="61"/>
        <v>3333.57</v>
      </c>
      <c r="M167" s="335">
        <f t="shared" si="46"/>
        <v>24869.98</v>
      </c>
    </row>
    <row r="168" spans="1:13" s="3" customFormat="1" ht="13.5" customHeight="1" thickBot="1">
      <c r="A168" s="451"/>
      <c r="B168" s="456"/>
      <c r="C168" s="63" t="s">
        <v>199</v>
      </c>
      <c r="D168" s="75">
        <f aca="true" t="shared" si="62" ref="D168:M168">D163+D164-D165</f>
        <v>278.80999999999995</v>
      </c>
      <c r="E168" s="75">
        <f t="shared" si="62"/>
        <v>1215.0199999999995</v>
      </c>
      <c r="F168" s="75">
        <f>F163+F164-F165</f>
        <v>2.3092638912203256E-14</v>
      </c>
      <c r="G168" s="75">
        <f t="shared" si="62"/>
        <v>119.59000000000015</v>
      </c>
      <c r="H168" s="75">
        <f t="shared" si="62"/>
        <v>332.52000000000044</v>
      </c>
      <c r="I168" s="75">
        <f t="shared" si="62"/>
        <v>689.0699999999997</v>
      </c>
      <c r="J168" s="75">
        <f t="shared" si="62"/>
        <v>624.71</v>
      </c>
      <c r="K168" s="75">
        <f t="shared" si="62"/>
        <v>1433.750000000001</v>
      </c>
      <c r="L168" s="75">
        <f t="shared" si="62"/>
        <v>348.3699999999999</v>
      </c>
      <c r="M168" s="75">
        <f t="shared" si="62"/>
        <v>5041.84</v>
      </c>
    </row>
    <row r="169" spans="1:13" s="3" customFormat="1" ht="13.5" customHeight="1">
      <c r="A169" s="433"/>
      <c r="B169" s="453" t="s">
        <v>152</v>
      </c>
      <c r="C169" s="49" t="s">
        <v>175</v>
      </c>
      <c r="D169" s="172">
        <v>538.71</v>
      </c>
      <c r="E169" s="172">
        <v>2147.01</v>
      </c>
      <c r="F169" s="172">
        <v>3310.78</v>
      </c>
      <c r="G169" s="172">
        <v>284.59</v>
      </c>
      <c r="H169" s="172">
        <v>1639.63</v>
      </c>
      <c r="I169" s="172">
        <v>1320.06</v>
      </c>
      <c r="J169" s="172">
        <v>2093.15</v>
      </c>
      <c r="K169" s="172">
        <v>4281.32</v>
      </c>
      <c r="L169" s="172">
        <v>1332.16</v>
      </c>
      <c r="M169" s="335">
        <f t="shared" si="46"/>
        <v>16947.41</v>
      </c>
    </row>
    <row r="170" spans="1:13" s="3" customFormat="1" ht="13.5" customHeight="1">
      <c r="A170" s="433"/>
      <c r="B170" s="431"/>
      <c r="C170" s="48" t="s">
        <v>1</v>
      </c>
      <c r="D170" s="173">
        <v>5044.91</v>
      </c>
      <c r="E170" s="173">
        <v>11304.37</v>
      </c>
      <c r="F170" s="173">
        <v>8392.89</v>
      </c>
      <c r="G170" s="173">
        <v>6097.89</v>
      </c>
      <c r="H170" s="173">
        <v>10570.12</v>
      </c>
      <c r="I170" s="173">
        <v>8430.77</v>
      </c>
      <c r="J170" s="173">
        <v>9292.89</v>
      </c>
      <c r="K170" s="173">
        <v>13713.26</v>
      </c>
      <c r="L170" s="173">
        <v>9493.37</v>
      </c>
      <c r="M170" s="335">
        <f t="shared" si="46"/>
        <v>82340.47</v>
      </c>
    </row>
    <row r="171" spans="1:13" s="3" customFormat="1" ht="13.5" customHeight="1">
      <c r="A171" s="433"/>
      <c r="B171" s="431"/>
      <c r="C171" s="50" t="s">
        <v>2</v>
      </c>
      <c r="D171" s="173">
        <v>4764.55</v>
      </c>
      <c r="E171" s="173">
        <v>9824.16</v>
      </c>
      <c r="F171" s="173">
        <v>7649.29</v>
      </c>
      <c r="G171" s="173">
        <v>6277.61</v>
      </c>
      <c r="H171" s="173">
        <v>11233.7</v>
      </c>
      <c r="I171" s="173">
        <v>7731.78</v>
      </c>
      <c r="J171" s="173">
        <v>9389.39</v>
      </c>
      <c r="K171" s="173">
        <v>13418.5</v>
      </c>
      <c r="L171" s="173">
        <v>9791.55</v>
      </c>
      <c r="M171" s="335">
        <f t="shared" si="46"/>
        <v>80080.53</v>
      </c>
    </row>
    <row r="172" spans="1:13" s="3" customFormat="1" ht="13.5" customHeight="1">
      <c r="A172" s="433"/>
      <c r="B172" s="431"/>
      <c r="C172" s="48" t="s">
        <v>4</v>
      </c>
      <c r="D172" s="173">
        <f>+D170</f>
        <v>5044.91</v>
      </c>
      <c r="E172" s="173">
        <f aca="true" t="shared" si="63" ref="E172:L172">+E170</f>
        <v>11304.37</v>
      </c>
      <c r="F172" s="173">
        <f t="shared" si="63"/>
        <v>8392.89</v>
      </c>
      <c r="G172" s="173">
        <f t="shared" si="63"/>
        <v>6097.89</v>
      </c>
      <c r="H172" s="173">
        <f t="shared" si="63"/>
        <v>10570.12</v>
      </c>
      <c r="I172" s="173">
        <f t="shared" si="63"/>
        <v>8430.77</v>
      </c>
      <c r="J172" s="173">
        <f t="shared" si="63"/>
        <v>9292.89</v>
      </c>
      <c r="K172" s="173">
        <f t="shared" si="63"/>
        <v>13713.26</v>
      </c>
      <c r="L172" s="173">
        <f t="shared" si="63"/>
        <v>9493.37</v>
      </c>
      <c r="M172" s="335">
        <f t="shared" si="46"/>
        <v>82340.47</v>
      </c>
    </row>
    <row r="173" spans="1:13" s="3" customFormat="1" ht="13.5" customHeight="1">
      <c r="A173" s="433"/>
      <c r="B173" s="431"/>
      <c r="C173" s="48" t="s">
        <v>3</v>
      </c>
      <c r="D173" s="173">
        <f>+D171</f>
        <v>4764.55</v>
      </c>
      <c r="E173" s="173">
        <f aca="true" t="shared" si="64" ref="E173:L173">+E171</f>
        <v>9824.16</v>
      </c>
      <c r="F173" s="173">
        <f t="shared" si="64"/>
        <v>7649.29</v>
      </c>
      <c r="G173" s="173">
        <f t="shared" si="64"/>
        <v>6277.61</v>
      </c>
      <c r="H173" s="173">
        <f t="shared" si="64"/>
        <v>11233.7</v>
      </c>
      <c r="I173" s="173">
        <f t="shared" si="64"/>
        <v>7731.78</v>
      </c>
      <c r="J173" s="173">
        <f t="shared" si="64"/>
        <v>9389.39</v>
      </c>
      <c r="K173" s="173">
        <f t="shared" si="64"/>
        <v>13418.5</v>
      </c>
      <c r="L173" s="173">
        <f t="shared" si="64"/>
        <v>9791.55</v>
      </c>
      <c r="M173" s="335">
        <f t="shared" si="46"/>
        <v>80080.53</v>
      </c>
    </row>
    <row r="174" spans="1:13" s="3" customFormat="1" ht="13.5" customHeight="1" thickBot="1">
      <c r="A174" s="433"/>
      <c r="B174" s="431"/>
      <c r="C174" s="63" t="s">
        <v>199</v>
      </c>
      <c r="D174" s="75">
        <f aca="true" t="shared" si="65" ref="D174:M174">D169+D170-D171</f>
        <v>819.0699999999997</v>
      </c>
      <c r="E174" s="75">
        <f t="shared" si="65"/>
        <v>3627.220000000001</v>
      </c>
      <c r="F174" s="75">
        <f t="shared" si="65"/>
        <v>4054.38</v>
      </c>
      <c r="G174" s="75">
        <f t="shared" si="65"/>
        <v>104.8700000000008</v>
      </c>
      <c r="H174" s="75">
        <f t="shared" si="65"/>
        <v>976.0499999999993</v>
      </c>
      <c r="I174" s="75">
        <f t="shared" si="65"/>
        <v>2019.0500000000002</v>
      </c>
      <c r="J174" s="75">
        <f t="shared" si="65"/>
        <v>1996.6499999999996</v>
      </c>
      <c r="K174" s="75">
        <f t="shared" si="65"/>
        <v>4576.080000000002</v>
      </c>
      <c r="L174" s="75">
        <f t="shared" si="65"/>
        <v>1033.9800000000014</v>
      </c>
      <c r="M174" s="75">
        <f t="shared" si="65"/>
        <v>19207.350000000006</v>
      </c>
    </row>
    <row r="175" spans="1:13" s="3" customFormat="1" ht="13.5" customHeight="1">
      <c r="A175" s="451"/>
      <c r="B175" s="454" t="s">
        <v>153</v>
      </c>
      <c r="C175" s="49" t="s">
        <v>175</v>
      </c>
      <c r="D175" s="172">
        <v>183.37</v>
      </c>
      <c r="E175" s="172">
        <v>737.38</v>
      </c>
      <c r="F175" s="172"/>
      <c r="G175" s="172">
        <v>96.92</v>
      </c>
      <c r="H175" s="172">
        <v>560.83</v>
      </c>
      <c r="I175" s="172">
        <v>449.54</v>
      </c>
      <c r="J175" s="172">
        <v>722.44</v>
      </c>
      <c r="K175" s="172">
        <v>1476.63</v>
      </c>
      <c r="L175" s="172">
        <v>449.94</v>
      </c>
      <c r="M175" s="335">
        <f t="shared" si="46"/>
        <v>4677.05</v>
      </c>
    </row>
    <row r="176" spans="1:13" s="3" customFormat="1" ht="13.5" customHeight="1">
      <c r="A176" s="451"/>
      <c r="B176" s="455"/>
      <c r="C176" s="48" t="s">
        <v>1</v>
      </c>
      <c r="D176" s="173">
        <v>1717.44</v>
      </c>
      <c r="E176" s="173">
        <v>3825.04</v>
      </c>
      <c r="F176" s="173"/>
      <c r="G176" s="173">
        <v>2173.89</v>
      </c>
      <c r="H176" s="173">
        <v>3610.69</v>
      </c>
      <c r="I176" s="173">
        <v>2873.06</v>
      </c>
      <c r="J176" s="173">
        <v>3104.67</v>
      </c>
      <c r="K176" s="173">
        <v>4520.09</v>
      </c>
      <c r="L176" s="173">
        <v>3232</v>
      </c>
      <c r="M176" s="335">
        <f t="shared" si="46"/>
        <v>25056.879999999997</v>
      </c>
    </row>
    <row r="177" spans="1:13" s="3" customFormat="1" ht="13.5" customHeight="1">
      <c r="A177" s="451"/>
      <c r="B177" s="455"/>
      <c r="C177" s="50" t="s">
        <v>2</v>
      </c>
      <c r="D177" s="173">
        <v>1622</v>
      </c>
      <c r="E177" s="173">
        <v>3347.41</v>
      </c>
      <c r="F177" s="173"/>
      <c r="G177" s="173">
        <v>2151.22</v>
      </c>
      <c r="H177" s="173">
        <v>3839</v>
      </c>
      <c r="I177" s="173">
        <v>2633.52</v>
      </c>
      <c r="J177" s="173">
        <v>3202.36</v>
      </c>
      <c r="K177" s="173">
        <v>4562.97</v>
      </c>
      <c r="L177" s="173">
        <v>3333.57</v>
      </c>
      <c r="M177" s="335">
        <f t="shared" si="46"/>
        <v>24692.050000000003</v>
      </c>
    </row>
    <row r="178" spans="1:13" s="3" customFormat="1" ht="13.5" customHeight="1">
      <c r="A178" s="451"/>
      <c r="B178" s="455"/>
      <c r="C178" s="48" t="s">
        <v>4</v>
      </c>
      <c r="D178" s="173">
        <f>+D176</f>
        <v>1717.44</v>
      </c>
      <c r="E178" s="173">
        <f aca="true" t="shared" si="66" ref="E178:L178">+E176</f>
        <v>3825.04</v>
      </c>
      <c r="F178" s="173"/>
      <c r="G178" s="173">
        <f t="shared" si="66"/>
        <v>2173.89</v>
      </c>
      <c r="H178" s="173">
        <f t="shared" si="66"/>
        <v>3610.69</v>
      </c>
      <c r="I178" s="173">
        <f t="shared" si="66"/>
        <v>2873.06</v>
      </c>
      <c r="J178" s="173">
        <f t="shared" si="66"/>
        <v>3104.67</v>
      </c>
      <c r="K178" s="173">
        <f t="shared" si="66"/>
        <v>4520.09</v>
      </c>
      <c r="L178" s="173">
        <f t="shared" si="66"/>
        <v>3232</v>
      </c>
      <c r="M178" s="335">
        <f t="shared" si="46"/>
        <v>25056.879999999997</v>
      </c>
    </row>
    <row r="179" spans="1:13" s="3" customFormat="1" ht="13.5" customHeight="1">
      <c r="A179" s="451"/>
      <c r="B179" s="455"/>
      <c r="C179" s="48" t="s">
        <v>3</v>
      </c>
      <c r="D179" s="173">
        <f>+D177</f>
        <v>1622</v>
      </c>
      <c r="E179" s="173">
        <f aca="true" t="shared" si="67" ref="E179:L179">+E177</f>
        <v>3347.41</v>
      </c>
      <c r="F179" s="173"/>
      <c r="G179" s="173">
        <f t="shared" si="67"/>
        <v>2151.22</v>
      </c>
      <c r="H179" s="173">
        <f t="shared" si="67"/>
        <v>3839</v>
      </c>
      <c r="I179" s="173">
        <f t="shared" si="67"/>
        <v>2633.52</v>
      </c>
      <c r="J179" s="173">
        <f t="shared" si="67"/>
        <v>3202.36</v>
      </c>
      <c r="K179" s="173">
        <f t="shared" si="67"/>
        <v>4562.97</v>
      </c>
      <c r="L179" s="173">
        <f t="shared" si="67"/>
        <v>3333.57</v>
      </c>
      <c r="M179" s="335">
        <f aca="true" t="shared" si="68" ref="M179:M221">L179+K179+J179+I179+H179+G179+F179+E179+D179</f>
        <v>24692.050000000003</v>
      </c>
    </row>
    <row r="180" spans="1:13" s="3" customFormat="1" ht="13.5" customHeight="1" thickBot="1">
      <c r="A180" s="452"/>
      <c r="B180" s="456"/>
      <c r="C180" s="63" t="s">
        <v>199</v>
      </c>
      <c r="D180" s="75">
        <f aca="true" t="shared" si="69" ref="D180:M180">D175+D176-D177</f>
        <v>278.80999999999995</v>
      </c>
      <c r="E180" s="75">
        <f t="shared" si="69"/>
        <v>1215.0100000000002</v>
      </c>
      <c r="F180" s="75"/>
      <c r="G180" s="75">
        <f t="shared" si="69"/>
        <v>119.59000000000015</v>
      </c>
      <c r="H180" s="75">
        <f t="shared" si="69"/>
        <v>332.52000000000044</v>
      </c>
      <c r="I180" s="75">
        <f t="shared" si="69"/>
        <v>689.0799999999999</v>
      </c>
      <c r="J180" s="75">
        <f t="shared" si="69"/>
        <v>624.75</v>
      </c>
      <c r="K180" s="75">
        <f t="shared" si="69"/>
        <v>1433.75</v>
      </c>
      <c r="L180" s="75">
        <f t="shared" si="69"/>
        <v>348.3699999999999</v>
      </c>
      <c r="M180" s="75">
        <f t="shared" si="69"/>
        <v>5041.879999999994</v>
      </c>
    </row>
    <row r="181" spans="1:13" s="3" customFormat="1" ht="13.5" customHeight="1" thickBot="1">
      <c r="A181" s="434" t="s">
        <v>161</v>
      </c>
      <c r="B181" s="429" t="s">
        <v>106</v>
      </c>
      <c r="C181" s="49" t="s">
        <v>175</v>
      </c>
      <c r="D181" s="220"/>
      <c r="E181" s="220"/>
      <c r="F181" s="220"/>
      <c r="G181" s="220"/>
      <c r="H181" s="220"/>
      <c r="I181" s="172"/>
      <c r="J181" s="172"/>
      <c r="K181" s="172">
        <v>0</v>
      </c>
      <c r="L181" s="172"/>
      <c r="M181" s="335">
        <f t="shared" si="68"/>
        <v>0</v>
      </c>
    </row>
    <row r="182" spans="1:13" s="3" customFormat="1" ht="13.5" customHeight="1" thickBot="1">
      <c r="A182" s="433"/>
      <c r="B182" s="429"/>
      <c r="C182" s="48" t="s">
        <v>1</v>
      </c>
      <c r="D182" s="110"/>
      <c r="E182" s="110"/>
      <c r="F182" s="110"/>
      <c r="G182" s="110"/>
      <c r="H182" s="110"/>
      <c r="I182" s="173"/>
      <c r="J182" s="173"/>
      <c r="K182" s="173">
        <v>0</v>
      </c>
      <c r="L182" s="173"/>
      <c r="M182" s="335">
        <f t="shared" si="68"/>
        <v>0</v>
      </c>
    </row>
    <row r="183" spans="1:13" s="3" customFormat="1" ht="13.5" customHeight="1" thickBot="1">
      <c r="A183" s="433"/>
      <c r="B183" s="429"/>
      <c r="C183" s="50" t="s">
        <v>2</v>
      </c>
      <c r="D183" s="110"/>
      <c r="E183" s="110"/>
      <c r="F183" s="110"/>
      <c r="G183" s="110"/>
      <c r="H183" s="110"/>
      <c r="I183" s="173"/>
      <c r="J183" s="173"/>
      <c r="K183" s="173">
        <v>0</v>
      </c>
      <c r="L183" s="173"/>
      <c r="M183" s="335">
        <f t="shared" si="68"/>
        <v>0</v>
      </c>
    </row>
    <row r="184" spans="1:13" s="3" customFormat="1" ht="13.5" customHeight="1" thickBot="1">
      <c r="A184" s="433"/>
      <c r="B184" s="429"/>
      <c r="C184" s="48" t="s">
        <v>4</v>
      </c>
      <c r="D184" s="173"/>
      <c r="E184" s="173"/>
      <c r="F184" s="173"/>
      <c r="G184" s="173"/>
      <c r="H184" s="173"/>
      <c r="I184" s="173">
        <f>+I182</f>
        <v>0</v>
      </c>
      <c r="J184" s="173"/>
      <c r="K184" s="173">
        <f>+K182</f>
        <v>0</v>
      </c>
      <c r="L184" s="173"/>
      <c r="M184" s="335">
        <f t="shared" si="68"/>
        <v>0</v>
      </c>
    </row>
    <row r="185" spans="1:13" s="3" customFormat="1" ht="13.5" customHeight="1" thickBot="1">
      <c r="A185" s="433"/>
      <c r="B185" s="429"/>
      <c r="C185" s="48" t="s">
        <v>3</v>
      </c>
      <c r="D185" s="173"/>
      <c r="E185" s="173"/>
      <c r="F185" s="173"/>
      <c r="G185" s="173"/>
      <c r="H185" s="173"/>
      <c r="I185" s="173">
        <f>+I183</f>
        <v>0</v>
      </c>
      <c r="J185" s="173"/>
      <c r="K185" s="173">
        <f>+K183</f>
        <v>0</v>
      </c>
      <c r="L185" s="173"/>
      <c r="M185" s="335">
        <f t="shared" si="68"/>
        <v>0</v>
      </c>
    </row>
    <row r="186" spans="1:13" s="3" customFormat="1" ht="13.5" customHeight="1" thickBot="1">
      <c r="A186" s="435"/>
      <c r="B186" s="429"/>
      <c r="C186" s="63" t="s">
        <v>199</v>
      </c>
      <c r="D186" s="75"/>
      <c r="E186" s="75"/>
      <c r="F186" s="75"/>
      <c r="G186" s="75"/>
      <c r="H186" s="75"/>
      <c r="I186" s="75">
        <f>I181+I182-I183</f>
        <v>0</v>
      </c>
      <c r="J186" s="75"/>
      <c r="K186" s="75">
        <f>K181+K182-K183</f>
        <v>0</v>
      </c>
      <c r="L186" s="75"/>
      <c r="M186" s="75">
        <f>M181+M182-M183</f>
        <v>0</v>
      </c>
    </row>
    <row r="187" spans="1:13" s="24" customFormat="1" ht="13.5" customHeight="1" thickBot="1">
      <c r="A187" s="434" t="s">
        <v>133</v>
      </c>
      <c r="B187" s="429" t="s">
        <v>21</v>
      </c>
      <c r="C187" s="49" t="s">
        <v>175</v>
      </c>
      <c r="D187" s="172">
        <v>2125.01</v>
      </c>
      <c r="E187" s="172">
        <v>10571.4</v>
      </c>
      <c r="F187" s="172">
        <v>16214.58</v>
      </c>
      <c r="G187" s="172">
        <v>1113.16</v>
      </c>
      <c r="H187" s="172">
        <v>6418.22</v>
      </c>
      <c r="I187" s="172">
        <v>5168.05</v>
      </c>
      <c r="J187" s="172">
        <v>8827.43</v>
      </c>
      <c r="K187" s="172">
        <v>19359.29</v>
      </c>
      <c r="L187" s="172">
        <v>2558.14</v>
      </c>
      <c r="M187" s="335">
        <f t="shared" si="68"/>
        <v>72355.28</v>
      </c>
    </row>
    <row r="188" spans="1:13" s="24" customFormat="1" ht="13.5" thickBot="1">
      <c r="A188" s="433"/>
      <c r="B188" s="429"/>
      <c r="C188" s="48" t="s">
        <v>1</v>
      </c>
      <c r="D188" s="173">
        <v>19965.24</v>
      </c>
      <c r="E188" s="173">
        <v>44466.82</v>
      </c>
      <c r="F188" s="173">
        <v>31758.22</v>
      </c>
      <c r="G188" s="173">
        <v>25270.03</v>
      </c>
      <c r="H188" s="173">
        <v>42039.98</v>
      </c>
      <c r="I188" s="173">
        <v>33397.89</v>
      </c>
      <c r="J188" s="173">
        <v>36091.78</v>
      </c>
      <c r="K188" s="173">
        <v>52546.32</v>
      </c>
      <c r="L188" s="173">
        <v>37569.51</v>
      </c>
      <c r="M188" s="335">
        <f t="shared" si="68"/>
        <v>323105.79</v>
      </c>
    </row>
    <row r="189" spans="1:13" s="24" customFormat="1" ht="13.5" thickBot="1">
      <c r="A189" s="433"/>
      <c r="B189" s="429"/>
      <c r="C189" s="50" t="s">
        <v>2</v>
      </c>
      <c r="D189" s="173">
        <v>18849.27</v>
      </c>
      <c r="E189" s="173">
        <v>38947.24</v>
      </c>
      <c r="F189" s="173">
        <v>30278.37</v>
      </c>
      <c r="G189" s="173">
        <v>24998.22</v>
      </c>
      <c r="H189" s="173">
        <v>44593.04</v>
      </c>
      <c r="I189" s="173">
        <v>30583.98</v>
      </c>
      <c r="J189" s="173">
        <v>37348.89</v>
      </c>
      <c r="K189" s="173">
        <v>52830.31</v>
      </c>
      <c r="L189" s="173">
        <v>38383.28</v>
      </c>
      <c r="M189" s="335">
        <f t="shared" si="68"/>
        <v>316812.60000000003</v>
      </c>
    </row>
    <row r="190" spans="1:13" s="24" customFormat="1" ht="13.5" thickBot="1">
      <c r="A190" s="433"/>
      <c r="B190" s="429"/>
      <c r="C190" s="48" t="s">
        <v>4</v>
      </c>
      <c r="D190" s="219">
        <v>13152.94</v>
      </c>
      <c r="E190" s="219">
        <v>35364.61</v>
      </c>
      <c r="F190" s="219">
        <v>29271.35</v>
      </c>
      <c r="G190" s="219">
        <v>21944.43</v>
      </c>
      <c r="H190" s="219">
        <v>87867.55</v>
      </c>
      <c r="I190" s="219">
        <v>27546.63</v>
      </c>
      <c r="J190" s="219">
        <v>48961.44</v>
      </c>
      <c r="K190" s="219">
        <v>43688.09</v>
      </c>
      <c r="L190" s="219">
        <v>37892.4</v>
      </c>
      <c r="M190" s="335">
        <f t="shared" si="68"/>
        <v>345689.43999999994</v>
      </c>
    </row>
    <row r="191" spans="1:13" s="24" customFormat="1" ht="13.5" thickBot="1">
      <c r="A191" s="433"/>
      <c r="B191" s="429"/>
      <c r="C191" s="48" t="s">
        <v>3</v>
      </c>
      <c r="D191" s="173">
        <f>D190+D187</f>
        <v>15277.95</v>
      </c>
      <c r="E191" s="173">
        <f>E189</f>
        <v>38947.24</v>
      </c>
      <c r="F191" s="173">
        <f aca="true" t="shared" si="70" ref="F191:L191">+F189</f>
        <v>30278.37</v>
      </c>
      <c r="G191" s="173">
        <f t="shared" si="70"/>
        <v>24998.22</v>
      </c>
      <c r="H191" s="173">
        <f>H190+H187</f>
        <v>94285.77</v>
      </c>
      <c r="I191" s="173">
        <f>I190+I187</f>
        <v>32714.68</v>
      </c>
      <c r="J191" s="173">
        <f t="shared" si="70"/>
        <v>37348.89</v>
      </c>
      <c r="K191" s="173">
        <f t="shared" si="70"/>
        <v>52830.31</v>
      </c>
      <c r="L191" s="173">
        <f t="shared" si="70"/>
        <v>38383.28</v>
      </c>
      <c r="M191" s="335">
        <f t="shared" si="68"/>
        <v>365064.71</v>
      </c>
    </row>
    <row r="192" spans="1:13" s="3" customFormat="1" ht="13.5" thickBot="1">
      <c r="A192" s="433"/>
      <c r="B192" s="429"/>
      <c r="C192" s="63" t="s">
        <v>199</v>
      </c>
      <c r="D192" s="71">
        <f aca="true" t="shared" si="71" ref="D192:M192">D187+D188-D189</f>
        <v>3240.9799999999996</v>
      </c>
      <c r="E192" s="71">
        <f t="shared" si="71"/>
        <v>16090.980000000003</v>
      </c>
      <c r="F192" s="71">
        <f t="shared" si="71"/>
        <v>17694.430000000004</v>
      </c>
      <c r="G192" s="71">
        <f t="shared" si="71"/>
        <v>1384.9699999999975</v>
      </c>
      <c r="H192" s="71">
        <f t="shared" si="71"/>
        <v>3865.1600000000035</v>
      </c>
      <c r="I192" s="71">
        <f t="shared" si="71"/>
        <v>7981.960000000003</v>
      </c>
      <c r="J192" s="71">
        <f t="shared" si="71"/>
        <v>7570.32</v>
      </c>
      <c r="K192" s="71">
        <f t="shared" si="71"/>
        <v>19075.300000000003</v>
      </c>
      <c r="L192" s="71">
        <f t="shared" si="71"/>
        <v>1744.3700000000026</v>
      </c>
      <c r="M192" s="71">
        <f t="shared" si="71"/>
        <v>78648.46999999991</v>
      </c>
    </row>
    <row r="193" spans="1:13" s="3" customFormat="1" ht="13.5" customHeight="1" hidden="1" thickBot="1">
      <c r="A193" s="433"/>
      <c r="B193" s="430" t="s">
        <v>18</v>
      </c>
      <c r="C193" s="49" t="s">
        <v>156</v>
      </c>
      <c r="D193" s="73"/>
      <c r="E193" s="73">
        <v>-3.66</v>
      </c>
      <c r="F193" s="73">
        <v>710.07</v>
      </c>
      <c r="G193" s="73"/>
      <c r="H193" s="73"/>
      <c r="I193" s="73"/>
      <c r="J193" s="73">
        <v>-0.03</v>
      </c>
      <c r="K193" s="73">
        <v>21.9</v>
      </c>
      <c r="L193" s="73">
        <v>47.91</v>
      </c>
      <c r="M193" s="335">
        <f t="shared" si="68"/>
        <v>776.19</v>
      </c>
    </row>
    <row r="194" spans="1:13" s="3" customFormat="1" ht="13.5" customHeight="1" hidden="1" thickBot="1">
      <c r="A194" s="433"/>
      <c r="B194" s="431"/>
      <c r="C194" s="48" t="s">
        <v>1</v>
      </c>
      <c r="D194" s="73"/>
      <c r="E194" s="73">
        <v>0</v>
      </c>
      <c r="F194" s="73">
        <v>0</v>
      </c>
      <c r="G194" s="73"/>
      <c r="H194" s="73"/>
      <c r="I194" s="73"/>
      <c r="J194" s="73">
        <v>0</v>
      </c>
      <c r="K194" s="73">
        <v>0</v>
      </c>
      <c r="L194" s="73">
        <v>0</v>
      </c>
      <c r="M194" s="335">
        <f t="shared" si="68"/>
        <v>0</v>
      </c>
    </row>
    <row r="195" spans="1:13" s="3" customFormat="1" ht="13.5" customHeight="1" hidden="1" thickBot="1">
      <c r="A195" s="433"/>
      <c r="B195" s="431"/>
      <c r="C195" s="50" t="s">
        <v>2</v>
      </c>
      <c r="D195" s="73"/>
      <c r="E195" s="73">
        <v>0</v>
      </c>
      <c r="F195" s="73">
        <v>0</v>
      </c>
      <c r="G195" s="73"/>
      <c r="H195" s="73"/>
      <c r="I195" s="73"/>
      <c r="J195" s="73">
        <v>0</v>
      </c>
      <c r="K195" s="73">
        <v>0</v>
      </c>
      <c r="L195" s="73">
        <v>0</v>
      </c>
      <c r="M195" s="335">
        <f t="shared" si="68"/>
        <v>0</v>
      </c>
    </row>
    <row r="196" spans="1:13" s="3" customFormat="1" ht="13.5" customHeight="1" hidden="1" thickBot="1">
      <c r="A196" s="433"/>
      <c r="B196" s="431"/>
      <c r="C196" s="48" t="s">
        <v>4</v>
      </c>
      <c r="D196" s="82">
        <f>D194</f>
        <v>0</v>
      </c>
      <c r="E196" s="82">
        <f aca="true" t="shared" si="72" ref="E196:L196">E194</f>
        <v>0</v>
      </c>
      <c r="F196" s="82">
        <f t="shared" si="72"/>
        <v>0</v>
      </c>
      <c r="G196" s="82">
        <f t="shared" si="72"/>
        <v>0</v>
      </c>
      <c r="H196" s="82">
        <f t="shared" si="72"/>
        <v>0</v>
      </c>
      <c r="I196" s="82">
        <f t="shared" si="72"/>
        <v>0</v>
      </c>
      <c r="J196" s="82">
        <f t="shared" si="72"/>
        <v>0</v>
      </c>
      <c r="K196" s="82">
        <f t="shared" si="72"/>
        <v>0</v>
      </c>
      <c r="L196" s="82">
        <f t="shared" si="72"/>
        <v>0</v>
      </c>
      <c r="M196" s="335">
        <f t="shared" si="68"/>
        <v>0</v>
      </c>
    </row>
    <row r="197" spans="1:13" s="3" customFormat="1" ht="13.5" customHeight="1" hidden="1" thickBot="1">
      <c r="A197" s="433"/>
      <c r="B197" s="431"/>
      <c r="C197" s="48" t="s">
        <v>3</v>
      </c>
      <c r="D197" s="82">
        <f>D194</f>
        <v>0</v>
      </c>
      <c r="E197" s="82">
        <f aca="true" t="shared" si="73" ref="E197:L197">E194</f>
        <v>0</v>
      </c>
      <c r="F197" s="82">
        <f t="shared" si="73"/>
        <v>0</v>
      </c>
      <c r="G197" s="82">
        <f t="shared" si="73"/>
        <v>0</v>
      </c>
      <c r="H197" s="82">
        <f t="shared" si="73"/>
        <v>0</v>
      </c>
      <c r="I197" s="82">
        <f t="shared" si="73"/>
        <v>0</v>
      </c>
      <c r="J197" s="82">
        <f t="shared" si="73"/>
        <v>0</v>
      </c>
      <c r="K197" s="82">
        <f t="shared" si="73"/>
        <v>0</v>
      </c>
      <c r="L197" s="82">
        <f t="shared" si="73"/>
        <v>0</v>
      </c>
      <c r="M197" s="335">
        <f t="shared" si="68"/>
        <v>0</v>
      </c>
    </row>
    <row r="198" spans="1:13" s="3" customFormat="1" ht="13.5" customHeight="1" hidden="1" thickBot="1">
      <c r="A198" s="433"/>
      <c r="B198" s="432"/>
      <c r="C198" s="63" t="s">
        <v>160</v>
      </c>
      <c r="D198" s="67">
        <f aca="true" t="shared" si="74" ref="D198:L198">D193+D194-D195</f>
        <v>0</v>
      </c>
      <c r="E198" s="67">
        <f t="shared" si="74"/>
        <v>-3.66</v>
      </c>
      <c r="F198" s="67">
        <f t="shared" si="74"/>
        <v>710.07</v>
      </c>
      <c r="G198" s="67">
        <f t="shared" si="74"/>
        <v>0</v>
      </c>
      <c r="H198" s="67">
        <f t="shared" si="74"/>
        <v>0</v>
      </c>
      <c r="I198" s="67">
        <f t="shared" si="74"/>
        <v>0</v>
      </c>
      <c r="J198" s="67">
        <f t="shared" si="74"/>
        <v>-0.03</v>
      </c>
      <c r="K198" s="67">
        <f t="shared" si="74"/>
        <v>21.9</v>
      </c>
      <c r="L198" s="67">
        <f t="shared" si="74"/>
        <v>47.91</v>
      </c>
      <c r="M198" s="335">
        <f t="shared" si="68"/>
        <v>776.19</v>
      </c>
    </row>
    <row r="199" spans="1:13" s="3" customFormat="1" ht="13.5" customHeight="1" hidden="1" thickBot="1">
      <c r="A199" s="433"/>
      <c r="B199" s="430" t="s">
        <v>33</v>
      </c>
      <c r="C199" s="49" t="s">
        <v>156</v>
      </c>
      <c r="D199" s="73"/>
      <c r="E199" s="73"/>
      <c r="F199" s="73"/>
      <c r="G199" s="73"/>
      <c r="H199" s="73"/>
      <c r="I199" s="73"/>
      <c r="J199" s="73"/>
      <c r="K199" s="73"/>
      <c r="L199" s="73"/>
      <c r="M199" s="335">
        <f t="shared" si="68"/>
        <v>0</v>
      </c>
    </row>
    <row r="200" spans="1:13" s="3" customFormat="1" ht="13.5" customHeight="1" hidden="1" thickBot="1">
      <c r="A200" s="433"/>
      <c r="B200" s="431"/>
      <c r="C200" s="48" t="s">
        <v>1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335">
        <f t="shared" si="68"/>
        <v>0</v>
      </c>
    </row>
    <row r="201" spans="1:13" s="3" customFormat="1" ht="13.5" customHeight="1" hidden="1" thickBot="1">
      <c r="A201" s="433"/>
      <c r="B201" s="431"/>
      <c r="C201" s="50" t="s">
        <v>2</v>
      </c>
      <c r="D201" s="73"/>
      <c r="E201" s="73"/>
      <c r="F201" s="73"/>
      <c r="G201" s="73"/>
      <c r="H201" s="73"/>
      <c r="I201" s="73"/>
      <c r="J201" s="73"/>
      <c r="K201" s="73"/>
      <c r="L201" s="73"/>
      <c r="M201" s="335">
        <f t="shared" si="68"/>
        <v>0</v>
      </c>
    </row>
    <row r="202" spans="1:13" s="3" customFormat="1" ht="13.5" customHeight="1" hidden="1" thickBot="1">
      <c r="A202" s="433"/>
      <c r="B202" s="431"/>
      <c r="C202" s="48" t="s">
        <v>4</v>
      </c>
      <c r="D202" s="73"/>
      <c r="E202" s="73"/>
      <c r="F202" s="73"/>
      <c r="G202" s="73"/>
      <c r="H202" s="73"/>
      <c r="I202" s="73"/>
      <c r="J202" s="73"/>
      <c r="K202" s="73"/>
      <c r="L202" s="73"/>
      <c r="M202" s="335">
        <f t="shared" si="68"/>
        <v>0</v>
      </c>
    </row>
    <row r="203" spans="1:13" s="3" customFormat="1" ht="13.5" customHeight="1" hidden="1" thickBot="1">
      <c r="A203" s="433"/>
      <c r="B203" s="431"/>
      <c r="C203" s="48" t="s">
        <v>3</v>
      </c>
      <c r="D203" s="73"/>
      <c r="E203" s="73"/>
      <c r="F203" s="73"/>
      <c r="G203" s="73"/>
      <c r="H203" s="73"/>
      <c r="I203" s="73"/>
      <c r="J203" s="73"/>
      <c r="K203" s="73"/>
      <c r="L203" s="73"/>
      <c r="M203" s="335">
        <f t="shared" si="68"/>
        <v>0</v>
      </c>
    </row>
    <row r="204" spans="1:13" s="3" customFormat="1" ht="13.5" customHeight="1" hidden="1" thickBot="1">
      <c r="A204" s="433"/>
      <c r="B204" s="432"/>
      <c r="C204" s="63" t="s">
        <v>160</v>
      </c>
      <c r="D204" s="67">
        <f aca="true" t="shared" si="75" ref="D204:L204">D199+D200-D201</f>
        <v>0</v>
      </c>
      <c r="E204" s="67">
        <f t="shared" si="75"/>
        <v>0</v>
      </c>
      <c r="F204" s="67">
        <f t="shared" si="75"/>
        <v>0</v>
      </c>
      <c r="G204" s="67">
        <f t="shared" si="75"/>
        <v>0</v>
      </c>
      <c r="H204" s="67">
        <f t="shared" si="75"/>
        <v>0</v>
      </c>
      <c r="I204" s="67">
        <f t="shared" si="75"/>
        <v>0</v>
      </c>
      <c r="J204" s="67">
        <f t="shared" si="75"/>
        <v>0</v>
      </c>
      <c r="K204" s="67">
        <f t="shared" si="75"/>
        <v>0</v>
      </c>
      <c r="L204" s="67">
        <f t="shared" si="75"/>
        <v>0</v>
      </c>
      <c r="M204" s="335">
        <f t="shared" si="68"/>
        <v>0</v>
      </c>
    </row>
    <row r="205" spans="1:13" s="3" customFormat="1" ht="15" customHeight="1" hidden="1" thickBot="1">
      <c r="A205" s="433"/>
      <c r="B205" s="430" t="s">
        <v>42</v>
      </c>
      <c r="C205" s="49" t="s">
        <v>156</v>
      </c>
      <c r="D205" s="73"/>
      <c r="E205" s="73"/>
      <c r="F205" s="73"/>
      <c r="G205" s="73"/>
      <c r="H205" s="73"/>
      <c r="I205" s="73"/>
      <c r="J205" s="73"/>
      <c r="K205" s="73"/>
      <c r="L205" s="73"/>
      <c r="M205" s="335">
        <f t="shared" si="68"/>
        <v>0</v>
      </c>
    </row>
    <row r="206" spans="1:13" s="3" customFormat="1" ht="13.5" customHeight="1" hidden="1" thickBot="1">
      <c r="A206" s="433"/>
      <c r="B206" s="431"/>
      <c r="C206" s="48" t="s">
        <v>1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335">
        <f t="shared" si="68"/>
        <v>0</v>
      </c>
    </row>
    <row r="207" spans="1:13" s="3" customFormat="1" ht="13.5" customHeight="1" hidden="1" thickBot="1">
      <c r="A207" s="433"/>
      <c r="B207" s="431"/>
      <c r="C207" s="50" t="s">
        <v>2</v>
      </c>
      <c r="D207" s="73"/>
      <c r="E207" s="73"/>
      <c r="F207" s="73"/>
      <c r="G207" s="73"/>
      <c r="H207" s="73"/>
      <c r="I207" s="73"/>
      <c r="J207" s="73"/>
      <c r="K207" s="73"/>
      <c r="L207" s="73"/>
      <c r="M207" s="335">
        <f t="shared" si="68"/>
        <v>0</v>
      </c>
    </row>
    <row r="208" spans="1:13" s="3" customFormat="1" ht="13.5" customHeight="1" hidden="1" thickBot="1">
      <c r="A208" s="433"/>
      <c r="B208" s="431"/>
      <c r="C208" s="48" t="s">
        <v>4</v>
      </c>
      <c r="D208" s="67"/>
      <c r="E208" s="67"/>
      <c r="F208" s="67"/>
      <c r="G208" s="67"/>
      <c r="H208" s="67"/>
      <c r="I208" s="67"/>
      <c r="J208" s="67"/>
      <c r="K208" s="67"/>
      <c r="L208" s="67"/>
      <c r="M208" s="335">
        <f t="shared" si="68"/>
        <v>0</v>
      </c>
    </row>
    <row r="209" spans="1:13" s="3" customFormat="1" ht="13.5" customHeight="1" hidden="1" thickBot="1">
      <c r="A209" s="433"/>
      <c r="B209" s="431"/>
      <c r="C209" s="48" t="s">
        <v>3</v>
      </c>
      <c r="D209" s="67"/>
      <c r="E209" s="67"/>
      <c r="F209" s="67"/>
      <c r="G209" s="67"/>
      <c r="H209" s="67"/>
      <c r="I209" s="67"/>
      <c r="J209" s="67"/>
      <c r="K209" s="67"/>
      <c r="L209" s="67"/>
      <c r="M209" s="335">
        <f t="shared" si="68"/>
        <v>0</v>
      </c>
    </row>
    <row r="210" spans="1:13" s="3" customFormat="1" ht="13.5" customHeight="1" hidden="1" thickBot="1">
      <c r="A210" s="433"/>
      <c r="B210" s="432"/>
      <c r="C210" s="63" t="s">
        <v>160</v>
      </c>
      <c r="D210" s="74">
        <f aca="true" t="shared" si="76" ref="D210:L210">D205+D206-D207</f>
        <v>0</v>
      </c>
      <c r="E210" s="74">
        <f t="shared" si="76"/>
        <v>0</v>
      </c>
      <c r="F210" s="74">
        <f t="shared" si="76"/>
        <v>0</v>
      </c>
      <c r="G210" s="74">
        <f t="shared" si="76"/>
        <v>0</v>
      </c>
      <c r="H210" s="74">
        <f t="shared" si="76"/>
        <v>0</v>
      </c>
      <c r="I210" s="74">
        <f t="shared" si="76"/>
        <v>0</v>
      </c>
      <c r="J210" s="74">
        <f t="shared" si="76"/>
        <v>0</v>
      </c>
      <c r="K210" s="74">
        <f t="shared" si="76"/>
        <v>0</v>
      </c>
      <c r="L210" s="74">
        <f t="shared" si="76"/>
        <v>0</v>
      </c>
      <c r="M210" s="335">
        <f t="shared" si="68"/>
        <v>0</v>
      </c>
    </row>
    <row r="211" spans="1:13" s="3" customFormat="1" ht="13.5" customHeight="1">
      <c r="A211" s="433"/>
      <c r="B211" s="430" t="s">
        <v>151</v>
      </c>
      <c r="C211" s="49" t="s">
        <v>175</v>
      </c>
      <c r="D211" s="173">
        <v>297.98</v>
      </c>
      <c r="E211" s="173">
        <v>1144.98</v>
      </c>
      <c r="F211" s="173">
        <v>1714.04</v>
      </c>
      <c r="G211" s="173">
        <v>157.38</v>
      </c>
      <c r="H211" s="173">
        <v>883.8</v>
      </c>
      <c r="I211" s="173">
        <v>727.79</v>
      </c>
      <c r="J211" s="173">
        <v>1095.47</v>
      </c>
      <c r="K211" s="173">
        <v>2093.17</v>
      </c>
      <c r="L211" s="173">
        <v>742.48</v>
      </c>
      <c r="M211" s="335">
        <f t="shared" si="68"/>
        <v>8857.09</v>
      </c>
    </row>
    <row r="212" spans="1:13" s="3" customFormat="1" ht="12.75">
      <c r="A212" s="433"/>
      <c r="B212" s="431"/>
      <c r="C212" s="48" t="s">
        <v>1</v>
      </c>
      <c r="D212" s="173">
        <v>2790.84</v>
      </c>
      <c r="E212" s="173">
        <v>6215.72</v>
      </c>
      <c r="F212" s="173">
        <v>4439.38</v>
      </c>
      <c r="G212" s="173">
        <v>3532.49</v>
      </c>
      <c r="H212" s="173">
        <v>5889.08</v>
      </c>
      <c r="I212" s="173">
        <v>4668.64</v>
      </c>
      <c r="J212" s="173">
        <v>5045.09</v>
      </c>
      <c r="K212" s="173">
        <v>6892.53</v>
      </c>
      <c r="L212" s="173">
        <v>5251.86</v>
      </c>
      <c r="M212" s="335">
        <f t="shared" si="68"/>
        <v>44725.62999999999</v>
      </c>
    </row>
    <row r="213" spans="1:13" s="3" customFormat="1" ht="12.75">
      <c r="A213" s="433"/>
      <c r="B213" s="431"/>
      <c r="C213" s="50" t="s">
        <v>2</v>
      </c>
      <c r="D213" s="173">
        <v>2635.74</v>
      </c>
      <c r="E213" s="173">
        <v>5436.78</v>
      </c>
      <c r="F213" s="173">
        <v>4217.44</v>
      </c>
      <c r="G213" s="173">
        <v>3495.58</v>
      </c>
      <c r="H213" s="173">
        <v>6232.56</v>
      </c>
      <c r="I213" s="173">
        <v>4278.78</v>
      </c>
      <c r="J213" s="173">
        <v>5183.96</v>
      </c>
      <c r="K213" s="173">
        <v>6958.12</v>
      </c>
      <c r="L213" s="173">
        <v>5416.87</v>
      </c>
      <c r="M213" s="335">
        <f t="shared" si="68"/>
        <v>43855.83</v>
      </c>
    </row>
    <row r="214" spans="1:13" s="3" customFormat="1" ht="12.75">
      <c r="A214" s="433"/>
      <c r="B214" s="431"/>
      <c r="C214" s="48" t="s">
        <v>4</v>
      </c>
      <c r="D214" s="173">
        <f>+D212</f>
        <v>2790.84</v>
      </c>
      <c r="E214" s="173">
        <f aca="true" t="shared" si="77" ref="E214:L214">+E212</f>
        <v>6215.72</v>
      </c>
      <c r="F214" s="173">
        <f t="shared" si="77"/>
        <v>4439.38</v>
      </c>
      <c r="G214" s="173">
        <f t="shared" si="77"/>
        <v>3532.49</v>
      </c>
      <c r="H214" s="173">
        <f t="shared" si="77"/>
        <v>5889.08</v>
      </c>
      <c r="I214" s="173">
        <f t="shared" si="77"/>
        <v>4668.64</v>
      </c>
      <c r="J214" s="173">
        <f t="shared" si="77"/>
        <v>5045.09</v>
      </c>
      <c r="K214" s="173">
        <f t="shared" si="77"/>
        <v>6892.53</v>
      </c>
      <c r="L214" s="173">
        <f t="shared" si="77"/>
        <v>5251.86</v>
      </c>
      <c r="M214" s="335">
        <f t="shared" si="68"/>
        <v>44725.62999999999</v>
      </c>
    </row>
    <row r="215" spans="1:13" s="3" customFormat="1" ht="12.75">
      <c r="A215" s="433"/>
      <c r="B215" s="431"/>
      <c r="C215" s="48" t="s">
        <v>3</v>
      </c>
      <c r="D215" s="173">
        <f>+D213</f>
        <v>2635.74</v>
      </c>
      <c r="E215" s="173">
        <f aca="true" t="shared" si="78" ref="E215:L215">+E213</f>
        <v>5436.78</v>
      </c>
      <c r="F215" s="173">
        <f t="shared" si="78"/>
        <v>4217.44</v>
      </c>
      <c r="G215" s="173">
        <f t="shared" si="78"/>
        <v>3495.58</v>
      </c>
      <c r="H215" s="173">
        <f t="shared" si="78"/>
        <v>6232.56</v>
      </c>
      <c r="I215" s="173">
        <f t="shared" si="78"/>
        <v>4278.78</v>
      </c>
      <c r="J215" s="173">
        <f t="shared" si="78"/>
        <v>5183.96</v>
      </c>
      <c r="K215" s="173">
        <f t="shared" si="78"/>
        <v>6958.12</v>
      </c>
      <c r="L215" s="173">
        <f t="shared" si="78"/>
        <v>5416.87</v>
      </c>
      <c r="M215" s="335">
        <f t="shared" si="68"/>
        <v>43855.83</v>
      </c>
    </row>
    <row r="216" spans="1:13" s="3" customFormat="1" ht="13.5" thickBot="1">
      <c r="A216" s="435"/>
      <c r="B216" s="432"/>
      <c r="C216" s="63" t="s">
        <v>199</v>
      </c>
      <c r="D216" s="75">
        <f aca="true" t="shared" si="79" ref="D216:M216">D211+D212-D213</f>
        <v>453.0800000000004</v>
      </c>
      <c r="E216" s="75">
        <f t="shared" si="79"/>
        <v>1923.920000000001</v>
      </c>
      <c r="F216" s="75">
        <f t="shared" si="79"/>
        <v>1935.9800000000005</v>
      </c>
      <c r="G216" s="75">
        <f t="shared" si="79"/>
        <v>194.28999999999996</v>
      </c>
      <c r="H216" s="75">
        <f t="shared" si="79"/>
        <v>540.3199999999997</v>
      </c>
      <c r="I216" s="75">
        <f t="shared" si="79"/>
        <v>1117.6500000000005</v>
      </c>
      <c r="J216" s="75">
        <f t="shared" si="79"/>
        <v>956.6000000000004</v>
      </c>
      <c r="K216" s="75">
        <f t="shared" si="79"/>
        <v>2027.5800000000008</v>
      </c>
      <c r="L216" s="75">
        <f t="shared" si="79"/>
        <v>577.4700000000003</v>
      </c>
      <c r="M216" s="75">
        <f t="shared" si="79"/>
        <v>9726.889999999985</v>
      </c>
    </row>
    <row r="217" spans="1:13" s="24" customFormat="1" ht="12.75" customHeight="1" thickBot="1">
      <c r="A217" s="434" t="s">
        <v>118</v>
      </c>
      <c r="B217" s="429" t="s">
        <v>41</v>
      </c>
      <c r="C217" s="49" t="s">
        <v>175</v>
      </c>
      <c r="D217" s="221">
        <v>11856.77</v>
      </c>
      <c r="E217" s="221">
        <v>43165.15</v>
      </c>
      <c r="F217" s="221">
        <f>6086.17+62429.48</f>
        <v>68515.65000000001</v>
      </c>
      <c r="G217" s="221">
        <v>4824.93</v>
      </c>
      <c r="H217" s="221">
        <v>11617.55</v>
      </c>
      <c r="I217" s="221">
        <v>19140.28</v>
      </c>
      <c r="J217" s="221">
        <f>-0.33+28425.71</f>
        <v>28425.379999999997</v>
      </c>
      <c r="K217" s="221">
        <f>1.06+88332.84</f>
        <v>88333.9</v>
      </c>
      <c r="L217" s="221">
        <f>1290.74+27248.52</f>
        <v>28539.260000000002</v>
      </c>
      <c r="M217" s="335">
        <f t="shared" si="68"/>
        <v>304418.87000000005</v>
      </c>
    </row>
    <row r="218" spans="1:13" s="24" customFormat="1" ht="13.5" thickBot="1">
      <c r="A218" s="433"/>
      <c r="B218" s="429"/>
      <c r="C218" s="48" t="s">
        <v>1</v>
      </c>
      <c r="D218" s="173">
        <v>112184.7</v>
      </c>
      <c r="E218" s="173">
        <v>275076.52</v>
      </c>
      <c r="F218" s="173">
        <f>-6086.17+177396.06</f>
        <v>171309.88999999998</v>
      </c>
      <c r="G218" s="173">
        <v>97671.14</v>
      </c>
      <c r="H218" s="173">
        <v>181100.71</v>
      </c>
      <c r="I218" s="173">
        <v>180018.81</v>
      </c>
      <c r="J218" s="173">
        <f>0.33+138260.9</f>
        <v>138261.22999999998</v>
      </c>
      <c r="K218" s="173">
        <f>-1.06+233943.01</f>
        <v>233941.95</v>
      </c>
      <c r="L218" s="173">
        <f>-1290.74+173180.87</f>
        <v>171890.13</v>
      </c>
      <c r="M218" s="335">
        <f t="shared" si="68"/>
        <v>1561455.08</v>
      </c>
    </row>
    <row r="219" spans="1:13" s="24" customFormat="1" ht="13.5" thickBot="1">
      <c r="A219" s="433"/>
      <c r="B219" s="429"/>
      <c r="C219" s="50" t="s">
        <v>2</v>
      </c>
      <c r="D219" s="173">
        <v>105678.06</v>
      </c>
      <c r="E219" s="173">
        <v>217947.9</v>
      </c>
      <c r="F219" s="173">
        <v>151704.6</v>
      </c>
      <c r="G219" s="173">
        <v>90886.88</v>
      </c>
      <c r="H219" s="173">
        <v>192646.62</v>
      </c>
      <c r="I219" s="173">
        <v>146801.71</v>
      </c>
      <c r="J219" s="173">
        <v>141014.68</v>
      </c>
      <c r="K219" s="173">
        <v>258016.69</v>
      </c>
      <c r="L219" s="173">
        <v>182098.06</v>
      </c>
      <c r="M219" s="335">
        <f t="shared" si="68"/>
        <v>1486795.2</v>
      </c>
    </row>
    <row r="220" spans="1:13" s="24" customFormat="1" ht="13.5" thickBot="1">
      <c r="A220" s="433"/>
      <c r="B220" s="429"/>
      <c r="C220" s="48" t="s">
        <v>4</v>
      </c>
      <c r="D220" s="173">
        <f>+D218</f>
        <v>112184.7</v>
      </c>
      <c r="E220" s="173">
        <f aca="true" t="shared" si="80" ref="E220:L220">+E218</f>
        <v>275076.52</v>
      </c>
      <c r="F220" s="173">
        <f t="shared" si="80"/>
        <v>171309.88999999998</v>
      </c>
      <c r="G220" s="173">
        <f t="shared" si="80"/>
        <v>97671.14</v>
      </c>
      <c r="H220" s="173">
        <f t="shared" si="80"/>
        <v>181100.71</v>
      </c>
      <c r="I220" s="173">
        <f t="shared" si="80"/>
        <v>180018.81</v>
      </c>
      <c r="J220" s="173">
        <f t="shared" si="80"/>
        <v>138261.22999999998</v>
      </c>
      <c r="K220" s="173">
        <f t="shared" si="80"/>
        <v>233941.95</v>
      </c>
      <c r="L220" s="173">
        <f t="shared" si="80"/>
        <v>171890.13</v>
      </c>
      <c r="M220" s="335">
        <f t="shared" si="68"/>
        <v>1561455.08</v>
      </c>
    </row>
    <row r="221" spans="1:13" s="24" customFormat="1" ht="13.5" thickBot="1">
      <c r="A221" s="433"/>
      <c r="B221" s="429"/>
      <c r="C221" s="48" t="s">
        <v>3</v>
      </c>
      <c r="D221" s="173">
        <v>109249.38</v>
      </c>
      <c r="E221" s="173">
        <v>243897.83</v>
      </c>
      <c r="F221" s="173">
        <f aca="true" t="shared" si="81" ref="F221:L221">+F219</f>
        <v>151704.6</v>
      </c>
      <c r="G221" s="173">
        <f t="shared" si="81"/>
        <v>90886.88</v>
      </c>
      <c r="H221" s="173">
        <f t="shared" si="81"/>
        <v>192646.62</v>
      </c>
      <c r="I221" s="173">
        <v>176981.86</v>
      </c>
      <c r="J221" s="173">
        <f t="shared" si="81"/>
        <v>141014.68</v>
      </c>
      <c r="K221" s="173">
        <f t="shared" si="81"/>
        <v>258016.69</v>
      </c>
      <c r="L221" s="173">
        <f t="shared" si="81"/>
        <v>182098.06</v>
      </c>
      <c r="M221" s="335">
        <f t="shared" si="68"/>
        <v>1546496.6</v>
      </c>
    </row>
    <row r="222" spans="1:13" s="3" customFormat="1" ht="13.5" thickBot="1">
      <c r="A222" s="435"/>
      <c r="B222" s="429"/>
      <c r="C222" s="63" t="s">
        <v>199</v>
      </c>
      <c r="D222" s="75">
        <f>D217+D218-D219</f>
        <v>18363.410000000003</v>
      </c>
      <c r="E222" s="75">
        <f aca="true" t="shared" si="82" ref="E222:M222">E217+E218-E219</f>
        <v>100293.77000000005</v>
      </c>
      <c r="F222" s="75">
        <f t="shared" si="82"/>
        <v>88120.93999999997</v>
      </c>
      <c r="G222" s="75">
        <f t="shared" si="82"/>
        <v>11609.190000000002</v>
      </c>
      <c r="H222" s="75">
        <f t="shared" si="82"/>
        <v>71.63999999998487</v>
      </c>
      <c r="I222" s="75">
        <f t="shared" si="82"/>
        <v>52357.380000000005</v>
      </c>
      <c r="J222" s="75">
        <f t="shared" si="82"/>
        <v>25671.929999999993</v>
      </c>
      <c r="K222" s="75">
        <f t="shared" si="82"/>
        <v>64259.159999999974</v>
      </c>
      <c r="L222" s="75">
        <f t="shared" si="82"/>
        <v>18331.330000000016</v>
      </c>
      <c r="M222" s="75">
        <f t="shared" si="82"/>
        <v>379078.75000000023</v>
      </c>
    </row>
    <row r="223" spans="1:13" s="24" customFormat="1" ht="12.75">
      <c r="A223" s="393" t="s">
        <v>189</v>
      </c>
      <c r="B223" s="393"/>
      <c r="C223" s="376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</row>
    <row r="224" spans="1:13" s="24" customFormat="1" ht="13.5" thickBot="1">
      <c r="A224" s="426"/>
      <c r="B224" s="426"/>
      <c r="C224" s="343" t="s">
        <v>175</v>
      </c>
      <c r="D224" s="117">
        <f>D115+D121+D127+D163+D169+D175+D187+D211+D217</f>
        <v>35450.04</v>
      </c>
      <c r="E224" s="117">
        <f aca="true" t="shared" si="83" ref="E224:L224">E115+E121+E127+E163+E169+E175+E187+E211+E217</f>
        <v>145586.5</v>
      </c>
      <c r="F224" s="117">
        <f t="shared" si="83"/>
        <v>260148.68</v>
      </c>
      <c r="G224" s="117">
        <f t="shared" si="83"/>
        <v>16927.62</v>
      </c>
      <c r="H224" s="117">
        <f>H115+H121+H127+H163+H169+H175+H187+H211+H217</f>
        <v>72917.76</v>
      </c>
      <c r="I224" s="117">
        <f>I115+I121+I127+I163+I169+I175+I187+I211+I217</f>
        <v>76011.65</v>
      </c>
      <c r="J224" s="117">
        <f t="shared" si="83"/>
        <v>117452.85200000001</v>
      </c>
      <c r="K224" s="117">
        <f t="shared" si="83"/>
        <v>277673.05000000005</v>
      </c>
      <c r="L224" s="117">
        <f t="shared" si="83"/>
        <v>87314.18000000002</v>
      </c>
      <c r="M224" s="117">
        <f>M115+M121+M127+M163+M169+M175+M187+M211+M217+M181</f>
        <v>1089482.3320000002</v>
      </c>
    </row>
    <row r="225" spans="1:13" s="24" customFormat="1" ht="13.5" thickBot="1">
      <c r="A225" s="427"/>
      <c r="B225" s="427"/>
      <c r="C225" s="342" t="s">
        <v>1</v>
      </c>
      <c r="D225" s="122">
        <f>D116+D122+D128+D164+D170+D176+D188+D212+D218</f>
        <v>333627.18</v>
      </c>
      <c r="E225" s="122">
        <f aca="true" t="shared" si="84" ref="E225:L225">E116+E122+E128+E164+E170+E176+E188+E212+E218</f>
        <v>756359.09</v>
      </c>
      <c r="F225" s="122">
        <f t="shared" si="84"/>
        <v>519802.83999999997</v>
      </c>
      <c r="G225" s="122">
        <f t="shared" si="84"/>
        <v>377950.4700000001</v>
      </c>
      <c r="H225" s="122">
        <f t="shared" si="84"/>
        <v>648500.7</v>
      </c>
      <c r="I225" s="122">
        <f t="shared" si="84"/>
        <v>550447.3600000001</v>
      </c>
      <c r="J225" s="122">
        <f t="shared" si="84"/>
        <v>538569.76</v>
      </c>
      <c r="K225" s="122">
        <f t="shared" si="84"/>
        <v>811725.28</v>
      </c>
      <c r="L225" s="122">
        <f t="shared" si="84"/>
        <v>589865.09</v>
      </c>
      <c r="M225" s="122">
        <f>M116+M122+M128+M164+M170+M176+M188+M212+M218+M182</f>
        <v>5126847.77</v>
      </c>
    </row>
    <row r="226" spans="1:13" s="24" customFormat="1" ht="13.5" thickBot="1">
      <c r="A226" s="427"/>
      <c r="B226" s="427"/>
      <c r="C226" s="342" t="s">
        <v>2</v>
      </c>
      <c r="D226" s="122">
        <f>D117+D123+D129+D165+D171+D177+D189+D213+D219</f>
        <v>314765.1699999999</v>
      </c>
      <c r="E226" s="122">
        <f aca="true" t="shared" si="85" ref="E226:L226">E117+E123+E129+E165+E171+E177+E189+E213+E219</f>
        <v>642801.1900000001</v>
      </c>
      <c r="F226" s="122">
        <f t="shared" si="85"/>
        <v>476200.6</v>
      </c>
      <c r="G226" s="122">
        <f t="shared" si="85"/>
        <v>368137.01000000007</v>
      </c>
      <c r="H226" s="122">
        <f t="shared" si="85"/>
        <v>678476.74</v>
      </c>
      <c r="I226" s="122">
        <f>I117+I123+I129+I165+I171+I177+I189+I213+I219+I183</f>
        <v>485532.03</v>
      </c>
      <c r="J226" s="122">
        <f t="shared" si="85"/>
        <v>552877.3300000001</v>
      </c>
      <c r="K226" s="122">
        <f t="shared" si="85"/>
        <v>836477.1199999999</v>
      </c>
      <c r="L226" s="122">
        <f t="shared" si="85"/>
        <v>611396.54</v>
      </c>
      <c r="M226" s="122">
        <f>M117+M123+M129+M165+M171+M177+M189+M213+M219+M183</f>
        <v>4966663.7299999995</v>
      </c>
    </row>
    <row r="227" spans="1:13" s="24" customFormat="1" ht="13.5" thickBot="1">
      <c r="A227" s="427"/>
      <c r="B227" s="427"/>
      <c r="C227" s="342" t="s">
        <v>4</v>
      </c>
      <c r="D227" s="122">
        <f>D118+D124+D130+D166+D172+D178+D190+D214+D220</f>
        <v>326973.76</v>
      </c>
      <c r="E227" s="122">
        <f aca="true" t="shared" si="86" ref="E227:M227">E118+E124+E130+E166+E172+E178+E190+E214+E220</f>
        <v>594429.7</v>
      </c>
      <c r="F227" s="122">
        <f t="shared" si="86"/>
        <v>451886.81999999995</v>
      </c>
      <c r="G227" s="122">
        <f t="shared" si="86"/>
        <v>371744.22000000003</v>
      </c>
      <c r="H227" s="122">
        <f t="shared" si="86"/>
        <v>595830.41</v>
      </c>
      <c r="I227" s="122">
        <f t="shared" si="86"/>
        <v>447774.76999999996</v>
      </c>
      <c r="J227" s="122">
        <f t="shared" si="86"/>
        <v>639085.93</v>
      </c>
      <c r="K227" s="122">
        <f t="shared" si="86"/>
        <v>738434.9000000001</v>
      </c>
      <c r="L227" s="122">
        <f t="shared" si="86"/>
        <v>588297.51</v>
      </c>
      <c r="M227" s="122">
        <f t="shared" si="86"/>
        <v>4754458.02</v>
      </c>
    </row>
    <row r="228" spans="1:13" s="24" customFormat="1" ht="13.5" thickBot="1">
      <c r="A228" s="427"/>
      <c r="B228" s="427"/>
      <c r="C228" s="342" t="s">
        <v>3</v>
      </c>
      <c r="D228" s="122">
        <f>D119+D125+D131+D167+D173+D179+D191+D215+D221</f>
        <v>314765.17</v>
      </c>
      <c r="E228" s="122">
        <f aca="true" t="shared" si="87" ref="E228:M228">E119+E125+E131+E167+E173+E179+E191+E215+E221</f>
        <v>611704.09</v>
      </c>
      <c r="F228" s="122">
        <f t="shared" si="87"/>
        <v>476200.6</v>
      </c>
      <c r="G228" s="122">
        <f t="shared" si="87"/>
        <v>368137.01000000007</v>
      </c>
      <c r="H228" s="122">
        <f t="shared" si="87"/>
        <v>666495.1200000001</v>
      </c>
      <c r="I228" s="122">
        <f t="shared" si="87"/>
        <v>473626.49</v>
      </c>
      <c r="J228" s="122">
        <f t="shared" si="87"/>
        <v>552877.3300000001</v>
      </c>
      <c r="K228" s="122">
        <f t="shared" si="87"/>
        <v>836477.1199999999</v>
      </c>
      <c r="L228" s="122">
        <f t="shared" si="87"/>
        <v>611396.54</v>
      </c>
      <c r="M228" s="122">
        <f t="shared" si="87"/>
        <v>4911679.469999999</v>
      </c>
    </row>
    <row r="229" spans="1:13" s="3" customFormat="1" ht="13.5" thickBot="1">
      <c r="A229" s="427"/>
      <c r="B229" s="427"/>
      <c r="C229" s="344" t="s">
        <v>199</v>
      </c>
      <c r="D229" s="345">
        <f>D120+D126+D132++D168+D174+D180+D192+D216+D222</f>
        <v>54312.05000000002</v>
      </c>
      <c r="E229" s="345">
        <f aca="true" t="shared" si="88" ref="E229:M229">E120+E126+E132++E168+E174+E180+E192+E216+E222</f>
        <v>259144.40000000008</v>
      </c>
      <c r="F229" s="345">
        <f t="shared" si="88"/>
        <v>303750.9199999999</v>
      </c>
      <c r="G229" s="345">
        <f t="shared" si="88"/>
        <v>26741.079999999994</v>
      </c>
      <c r="H229" s="345">
        <f t="shared" si="88"/>
        <v>42941.719999999965</v>
      </c>
      <c r="I229" s="345">
        <f>I120+I126+I132++I168+I174+I180+I192+I216+I222+I186</f>
        <v>140926.98000000004</v>
      </c>
      <c r="J229" s="345">
        <f t="shared" si="88"/>
        <v>103145.28199999998</v>
      </c>
      <c r="K229" s="345">
        <f t="shared" si="88"/>
        <v>252921.20999999993</v>
      </c>
      <c r="L229" s="345">
        <f t="shared" si="88"/>
        <v>65782.73000000003</v>
      </c>
      <c r="M229" s="345">
        <f t="shared" si="88"/>
        <v>1249666.372</v>
      </c>
    </row>
    <row r="230" spans="1:13" s="24" customFormat="1" ht="13.5" customHeight="1" thickBot="1">
      <c r="A230" s="434" t="s">
        <v>110</v>
      </c>
      <c r="B230" s="429" t="s">
        <v>24</v>
      </c>
      <c r="C230" s="49" t="s">
        <v>175</v>
      </c>
      <c r="D230" s="214">
        <f>-19.76+1019.24</f>
        <v>999.48</v>
      </c>
      <c r="E230" s="173">
        <f>-555.53+790.39</f>
        <v>234.86</v>
      </c>
      <c r="F230" s="173">
        <f>-25.42+4362.49</f>
        <v>4337.07</v>
      </c>
      <c r="G230" s="173">
        <f>-40.74-97.53</f>
        <v>-138.27</v>
      </c>
      <c r="H230" s="173">
        <f>-45.74+897.15</f>
        <v>851.41</v>
      </c>
      <c r="I230" s="173">
        <f>-69.12+1474.18</f>
        <v>1405.06</v>
      </c>
      <c r="J230" s="173">
        <f>-51.17+2486.73</f>
        <v>2435.56</v>
      </c>
      <c r="K230" s="173">
        <f>-190.05+2268.45</f>
        <v>2078.3999999999996</v>
      </c>
      <c r="L230" s="173">
        <f>-61.18+1354.36</f>
        <v>1293.1799999999998</v>
      </c>
      <c r="M230" s="334">
        <f aca="true" t="shared" si="89" ref="M230:M293">L230+K230+J230+I230+H230+G230+F230+E230+D230</f>
        <v>13496.749999999998</v>
      </c>
    </row>
    <row r="231" spans="1:13" s="24" customFormat="1" ht="13.5" thickBot="1">
      <c r="A231" s="433"/>
      <c r="B231" s="429"/>
      <c r="C231" s="48" t="s">
        <v>1</v>
      </c>
      <c r="D231" s="173">
        <f>19.76+4909.7</f>
        <v>4929.46</v>
      </c>
      <c r="E231" s="173">
        <f>555.53+5084.95</f>
        <v>5640.48</v>
      </c>
      <c r="F231" s="173">
        <f>25.42+9946.59</f>
        <v>9972.01</v>
      </c>
      <c r="G231" s="173">
        <f>40.74+4860</f>
        <v>4900.74</v>
      </c>
      <c r="H231" s="173">
        <f>45.74+7245</f>
        <v>7290.74</v>
      </c>
      <c r="I231" s="173">
        <f>69.12+7020</f>
        <v>7089.12</v>
      </c>
      <c r="J231" s="173">
        <f>51.17+8099.93</f>
        <v>8151.1</v>
      </c>
      <c r="K231" s="173">
        <f>190.05+16206.92</f>
        <v>16396.97</v>
      </c>
      <c r="L231" s="173">
        <f>61.18+8270.65</f>
        <v>8331.83</v>
      </c>
      <c r="M231" s="337">
        <f t="shared" si="89"/>
        <v>72702.45000000001</v>
      </c>
    </row>
    <row r="232" spans="1:13" s="24" customFormat="1" ht="13.5" thickBot="1">
      <c r="A232" s="433"/>
      <c r="B232" s="429"/>
      <c r="C232" s="50" t="s">
        <v>2</v>
      </c>
      <c r="D232" s="173">
        <v>3587.3</v>
      </c>
      <c r="E232" s="173">
        <v>3260.71</v>
      </c>
      <c r="F232" s="173">
        <v>5852.38</v>
      </c>
      <c r="G232" s="173">
        <v>4780.52</v>
      </c>
      <c r="H232" s="173">
        <v>7936.35</v>
      </c>
      <c r="I232" s="173">
        <v>6299.41</v>
      </c>
      <c r="J232" s="173">
        <v>7723.37</v>
      </c>
      <c r="K232" s="173">
        <v>15547.9</v>
      </c>
      <c r="L232" s="173">
        <v>7951.77</v>
      </c>
      <c r="M232" s="335">
        <f t="shared" si="89"/>
        <v>62939.70999999999</v>
      </c>
    </row>
    <row r="233" spans="1:13" s="24" customFormat="1" ht="13.5" thickBot="1">
      <c r="A233" s="433"/>
      <c r="B233" s="429"/>
      <c r="C233" s="48" t="s">
        <v>4</v>
      </c>
      <c r="D233" s="173">
        <f>+D231</f>
        <v>4929.46</v>
      </c>
      <c r="E233" s="173">
        <f aca="true" t="shared" si="90" ref="E233:L233">+E231</f>
        <v>5640.48</v>
      </c>
      <c r="F233" s="173">
        <f t="shared" si="90"/>
        <v>9972.01</v>
      </c>
      <c r="G233" s="173">
        <f t="shared" si="90"/>
        <v>4900.74</v>
      </c>
      <c r="H233" s="173">
        <f t="shared" si="90"/>
        <v>7290.74</v>
      </c>
      <c r="I233" s="173">
        <f t="shared" si="90"/>
        <v>7089.12</v>
      </c>
      <c r="J233" s="173">
        <f t="shared" si="90"/>
        <v>8151.1</v>
      </c>
      <c r="K233" s="173">
        <f t="shared" si="90"/>
        <v>16396.97</v>
      </c>
      <c r="L233" s="173">
        <f t="shared" si="90"/>
        <v>8331.83</v>
      </c>
      <c r="M233" s="335">
        <f t="shared" si="89"/>
        <v>72702.45000000001</v>
      </c>
    </row>
    <row r="234" spans="1:13" s="24" customFormat="1" ht="13.5" thickBot="1">
      <c r="A234" s="433"/>
      <c r="B234" s="429"/>
      <c r="C234" s="48" t="s">
        <v>3</v>
      </c>
      <c r="D234" s="173">
        <f>+D232</f>
        <v>3587.3</v>
      </c>
      <c r="E234" s="173">
        <f aca="true" t="shared" si="91" ref="E234:L234">+E232</f>
        <v>3260.71</v>
      </c>
      <c r="F234" s="173">
        <f t="shared" si="91"/>
        <v>5852.38</v>
      </c>
      <c r="G234" s="173">
        <f t="shared" si="91"/>
        <v>4780.52</v>
      </c>
      <c r="H234" s="173">
        <f t="shared" si="91"/>
        <v>7936.35</v>
      </c>
      <c r="I234" s="173">
        <f t="shared" si="91"/>
        <v>6299.41</v>
      </c>
      <c r="J234" s="173">
        <f t="shared" si="91"/>
        <v>7723.37</v>
      </c>
      <c r="K234" s="173">
        <f t="shared" si="91"/>
        <v>15547.9</v>
      </c>
      <c r="L234" s="173">
        <f t="shared" si="91"/>
        <v>7951.77</v>
      </c>
      <c r="M234" s="335">
        <f t="shared" si="89"/>
        <v>62939.70999999999</v>
      </c>
    </row>
    <row r="235" spans="1:13" s="3" customFormat="1" ht="13.5" thickBot="1">
      <c r="A235" s="433"/>
      <c r="B235" s="429"/>
      <c r="C235" s="63" t="s">
        <v>199</v>
      </c>
      <c r="D235" s="71">
        <f>D230+D231-D232</f>
        <v>2341.6400000000003</v>
      </c>
      <c r="E235" s="71">
        <f aca="true" t="shared" si="92" ref="E235:L235">E230+E231-E232</f>
        <v>2614.629999999999</v>
      </c>
      <c r="F235" s="71">
        <f t="shared" si="92"/>
        <v>8456.7</v>
      </c>
      <c r="G235" s="71">
        <f t="shared" si="92"/>
        <v>-18.05000000000109</v>
      </c>
      <c r="H235" s="71">
        <f t="shared" si="92"/>
        <v>205.79999999999927</v>
      </c>
      <c r="I235" s="71">
        <f t="shared" si="92"/>
        <v>2194.7700000000004</v>
      </c>
      <c r="J235" s="71">
        <f t="shared" si="92"/>
        <v>2863.29</v>
      </c>
      <c r="K235" s="71">
        <f t="shared" si="92"/>
        <v>2927.470000000003</v>
      </c>
      <c r="L235" s="71">
        <f t="shared" si="92"/>
        <v>1673.2399999999998</v>
      </c>
      <c r="M235" s="336">
        <f t="shared" si="89"/>
        <v>23259.489999999998</v>
      </c>
    </row>
    <row r="236" spans="1:13" s="3" customFormat="1" ht="13.5" customHeight="1" hidden="1" thickBot="1">
      <c r="A236" s="428" t="s">
        <v>32</v>
      </c>
      <c r="B236" s="429" t="s">
        <v>19</v>
      </c>
      <c r="C236" s="49" t="s">
        <v>156</v>
      </c>
      <c r="D236" s="73"/>
      <c r="E236" s="73">
        <v>-30.11</v>
      </c>
      <c r="F236" s="73"/>
      <c r="G236" s="73"/>
      <c r="H236" s="73"/>
      <c r="I236" s="73"/>
      <c r="J236" s="73"/>
      <c r="K236" s="73"/>
      <c r="L236" s="73"/>
      <c r="M236" s="104">
        <f t="shared" si="89"/>
        <v>-30.11</v>
      </c>
    </row>
    <row r="237" spans="1:13" s="3" customFormat="1" ht="13.5" customHeight="1" hidden="1" thickBot="1">
      <c r="A237" s="428"/>
      <c r="B237" s="429"/>
      <c r="C237" s="48" t="s">
        <v>1</v>
      </c>
      <c r="D237" s="73"/>
      <c r="E237" s="73">
        <v>0</v>
      </c>
      <c r="F237" s="73"/>
      <c r="G237" s="73"/>
      <c r="H237" s="73"/>
      <c r="I237" s="73"/>
      <c r="J237" s="73"/>
      <c r="K237" s="73"/>
      <c r="L237" s="73"/>
      <c r="M237" s="104">
        <f t="shared" si="89"/>
        <v>0</v>
      </c>
    </row>
    <row r="238" spans="1:13" s="3" customFormat="1" ht="13.5" customHeight="1" hidden="1" thickBot="1">
      <c r="A238" s="428"/>
      <c r="B238" s="429"/>
      <c r="C238" s="50" t="s">
        <v>2</v>
      </c>
      <c r="D238" s="73"/>
      <c r="E238" s="73">
        <v>0</v>
      </c>
      <c r="F238" s="73"/>
      <c r="G238" s="73"/>
      <c r="H238" s="73"/>
      <c r="I238" s="73"/>
      <c r="J238" s="73"/>
      <c r="K238" s="73"/>
      <c r="L238" s="73"/>
      <c r="M238" s="104">
        <f t="shared" si="89"/>
        <v>0</v>
      </c>
    </row>
    <row r="239" spans="1:13" s="3" customFormat="1" ht="13.5" customHeight="1" hidden="1" thickBot="1">
      <c r="A239" s="428"/>
      <c r="B239" s="429"/>
      <c r="C239" s="48" t="s">
        <v>4</v>
      </c>
      <c r="D239" s="82">
        <f>D237</f>
        <v>0</v>
      </c>
      <c r="E239" s="82">
        <f>E237</f>
        <v>0</v>
      </c>
      <c r="F239" s="82">
        <f aca="true" t="shared" si="93" ref="F239:L239">F237</f>
        <v>0</v>
      </c>
      <c r="G239" s="82">
        <f t="shared" si="93"/>
        <v>0</v>
      </c>
      <c r="H239" s="82">
        <f t="shared" si="93"/>
        <v>0</v>
      </c>
      <c r="I239" s="82">
        <f t="shared" si="93"/>
        <v>0</v>
      </c>
      <c r="J239" s="82">
        <f t="shared" si="93"/>
        <v>0</v>
      </c>
      <c r="K239" s="82">
        <f t="shared" si="93"/>
        <v>0</v>
      </c>
      <c r="L239" s="82">
        <f t="shared" si="93"/>
        <v>0</v>
      </c>
      <c r="M239" s="104">
        <f t="shared" si="89"/>
        <v>0</v>
      </c>
    </row>
    <row r="240" spans="1:13" s="3" customFormat="1" ht="13.5" customHeight="1" hidden="1" thickBot="1">
      <c r="A240" s="428"/>
      <c r="B240" s="429"/>
      <c r="C240" s="48" t="s">
        <v>3</v>
      </c>
      <c r="D240" s="82">
        <f>D237</f>
        <v>0</v>
      </c>
      <c r="E240" s="82">
        <f>E237</f>
        <v>0</v>
      </c>
      <c r="F240" s="82">
        <f aca="true" t="shared" si="94" ref="F240:L240">F237</f>
        <v>0</v>
      </c>
      <c r="G240" s="82">
        <f t="shared" si="94"/>
        <v>0</v>
      </c>
      <c r="H240" s="82">
        <f t="shared" si="94"/>
        <v>0</v>
      </c>
      <c r="I240" s="82">
        <f t="shared" si="94"/>
        <v>0</v>
      </c>
      <c r="J240" s="82">
        <f t="shared" si="94"/>
        <v>0</v>
      </c>
      <c r="K240" s="82">
        <f t="shared" si="94"/>
        <v>0</v>
      </c>
      <c r="L240" s="82">
        <f t="shared" si="94"/>
        <v>0</v>
      </c>
      <c r="M240" s="104">
        <f t="shared" si="89"/>
        <v>0</v>
      </c>
    </row>
    <row r="241" spans="1:13" s="3" customFormat="1" ht="13.5" customHeight="1" hidden="1" thickBot="1">
      <c r="A241" s="428"/>
      <c r="B241" s="429"/>
      <c r="C241" s="63" t="s">
        <v>160</v>
      </c>
      <c r="D241" s="67">
        <f aca="true" t="shared" si="95" ref="D241:L241">D236+D237-D238</f>
        <v>0</v>
      </c>
      <c r="E241" s="67">
        <f t="shared" si="95"/>
        <v>-30.11</v>
      </c>
      <c r="F241" s="67">
        <f t="shared" si="95"/>
        <v>0</v>
      </c>
      <c r="G241" s="67">
        <f t="shared" si="95"/>
        <v>0</v>
      </c>
      <c r="H241" s="67">
        <f t="shared" si="95"/>
        <v>0</v>
      </c>
      <c r="I241" s="67">
        <f t="shared" si="95"/>
        <v>0</v>
      </c>
      <c r="J241" s="67">
        <f t="shared" si="95"/>
        <v>0</v>
      </c>
      <c r="K241" s="67">
        <f t="shared" si="95"/>
        <v>0</v>
      </c>
      <c r="L241" s="67">
        <f t="shared" si="95"/>
        <v>0</v>
      </c>
      <c r="M241" s="105">
        <f t="shared" si="89"/>
        <v>-30.11</v>
      </c>
    </row>
    <row r="242" spans="1:13" s="3" customFormat="1" ht="13.5" customHeight="1" hidden="1" thickBot="1">
      <c r="A242" s="428" t="s">
        <v>46</v>
      </c>
      <c r="B242" s="429" t="s">
        <v>38</v>
      </c>
      <c r="C242" s="49" t="s">
        <v>156</v>
      </c>
      <c r="D242" s="73"/>
      <c r="E242" s="73"/>
      <c r="F242" s="73"/>
      <c r="G242" s="73"/>
      <c r="H242" s="73"/>
      <c r="I242" s="73"/>
      <c r="J242" s="73"/>
      <c r="K242" s="73"/>
      <c r="L242" s="73"/>
      <c r="M242" s="104">
        <f t="shared" si="89"/>
        <v>0</v>
      </c>
    </row>
    <row r="243" spans="1:13" s="3" customFormat="1" ht="13.5" customHeight="1" hidden="1" thickBot="1">
      <c r="A243" s="428"/>
      <c r="B243" s="429"/>
      <c r="C243" s="48" t="s">
        <v>1</v>
      </c>
      <c r="D243" s="73"/>
      <c r="E243" s="73"/>
      <c r="F243" s="73"/>
      <c r="G243" s="73"/>
      <c r="H243" s="73"/>
      <c r="I243" s="73"/>
      <c r="J243" s="73"/>
      <c r="K243" s="73"/>
      <c r="L243" s="73"/>
      <c r="M243" s="104">
        <f t="shared" si="89"/>
        <v>0</v>
      </c>
    </row>
    <row r="244" spans="1:13" s="3" customFormat="1" ht="13.5" customHeight="1" hidden="1" thickBot="1">
      <c r="A244" s="428"/>
      <c r="B244" s="429"/>
      <c r="C244" s="50" t="s">
        <v>2</v>
      </c>
      <c r="D244" s="73"/>
      <c r="E244" s="73"/>
      <c r="F244" s="73"/>
      <c r="G244" s="73"/>
      <c r="H244" s="73"/>
      <c r="I244" s="73"/>
      <c r="J244" s="73"/>
      <c r="K244" s="73"/>
      <c r="L244" s="73"/>
      <c r="M244" s="104">
        <f t="shared" si="89"/>
        <v>0</v>
      </c>
    </row>
    <row r="245" spans="1:13" s="3" customFormat="1" ht="13.5" customHeight="1" hidden="1" thickBot="1">
      <c r="A245" s="428"/>
      <c r="B245" s="429"/>
      <c r="C245" s="48" t="s">
        <v>4</v>
      </c>
      <c r="D245" s="73"/>
      <c r="E245" s="73"/>
      <c r="F245" s="73"/>
      <c r="G245" s="73"/>
      <c r="H245" s="73"/>
      <c r="I245" s="73"/>
      <c r="J245" s="73"/>
      <c r="K245" s="73"/>
      <c r="L245" s="73"/>
      <c r="M245" s="104">
        <f t="shared" si="89"/>
        <v>0</v>
      </c>
    </row>
    <row r="246" spans="1:13" s="3" customFormat="1" ht="13.5" customHeight="1" hidden="1" thickBot="1">
      <c r="A246" s="428"/>
      <c r="B246" s="429"/>
      <c r="C246" s="48" t="s">
        <v>3</v>
      </c>
      <c r="D246" s="67"/>
      <c r="E246" s="67"/>
      <c r="F246" s="67"/>
      <c r="G246" s="67"/>
      <c r="H246" s="67"/>
      <c r="I246" s="67"/>
      <c r="J246" s="67"/>
      <c r="K246" s="67"/>
      <c r="L246" s="67"/>
      <c r="M246" s="104">
        <f t="shared" si="89"/>
        <v>0</v>
      </c>
    </row>
    <row r="247" spans="1:13" s="3" customFormat="1" ht="13.5" customHeight="1" hidden="1" thickBot="1">
      <c r="A247" s="428"/>
      <c r="B247" s="429"/>
      <c r="C247" s="63" t="s">
        <v>160</v>
      </c>
      <c r="D247" s="67">
        <f aca="true" t="shared" si="96" ref="D247:L247">D242+D243-D244</f>
        <v>0</v>
      </c>
      <c r="E247" s="67">
        <f t="shared" si="96"/>
        <v>0</v>
      </c>
      <c r="F247" s="67">
        <f t="shared" si="96"/>
        <v>0</v>
      </c>
      <c r="G247" s="67">
        <f t="shared" si="96"/>
        <v>0</v>
      </c>
      <c r="H247" s="67">
        <f t="shared" si="96"/>
        <v>0</v>
      </c>
      <c r="I247" s="67">
        <f t="shared" si="96"/>
        <v>0</v>
      </c>
      <c r="J247" s="67"/>
      <c r="K247" s="67"/>
      <c r="L247" s="67">
        <f t="shared" si="96"/>
        <v>0</v>
      </c>
      <c r="M247" s="105">
        <f t="shared" si="89"/>
        <v>0</v>
      </c>
    </row>
    <row r="248" spans="1:13" s="3" customFormat="1" ht="13.5" customHeight="1" hidden="1" thickBot="1">
      <c r="A248" s="428" t="s">
        <v>53</v>
      </c>
      <c r="B248" s="429" t="s">
        <v>38</v>
      </c>
      <c r="C248" s="49" t="s">
        <v>156</v>
      </c>
      <c r="D248" s="73">
        <f>1291.81-19.77</f>
        <v>1272.04</v>
      </c>
      <c r="E248" s="73">
        <f>-849.39-586.14</f>
        <v>-1435.53</v>
      </c>
      <c r="F248" s="73">
        <f>-1003.12-25.42</f>
        <v>-1028.54</v>
      </c>
      <c r="G248" s="73">
        <f>-1353.79-40.74</f>
        <v>-1394.53</v>
      </c>
      <c r="H248" s="73">
        <f>-1072.6-45.74</f>
        <v>-1118.34</v>
      </c>
      <c r="I248" s="73">
        <f>-702.03-69.12</f>
        <v>-771.15</v>
      </c>
      <c r="J248" s="73">
        <f>-996.17-51.15</f>
        <v>-1047.32</v>
      </c>
      <c r="K248" s="73">
        <f>-1334.03-153.02</f>
        <v>-1487.05</v>
      </c>
      <c r="L248" s="73">
        <f>-1501-61.18</f>
        <v>-1562.18</v>
      </c>
      <c r="M248" s="104">
        <f t="shared" si="89"/>
        <v>-8572.600000000002</v>
      </c>
    </row>
    <row r="249" spans="1:13" s="3" customFormat="1" ht="13.5" customHeight="1" hidden="1" thickBot="1">
      <c r="A249" s="428"/>
      <c r="B249" s="429"/>
      <c r="C249" s="48" t="s">
        <v>1</v>
      </c>
      <c r="D249" s="73">
        <v>0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104">
        <f t="shared" si="89"/>
        <v>0</v>
      </c>
    </row>
    <row r="250" spans="1:13" s="3" customFormat="1" ht="13.5" customHeight="1" hidden="1" thickBot="1">
      <c r="A250" s="428"/>
      <c r="B250" s="429"/>
      <c r="C250" s="50" t="s">
        <v>2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4.87</v>
      </c>
      <c r="J250" s="73">
        <v>0</v>
      </c>
      <c r="K250" s="73">
        <v>0</v>
      </c>
      <c r="L250" s="73">
        <v>0</v>
      </c>
      <c r="M250" s="104">
        <f t="shared" si="89"/>
        <v>4.87</v>
      </c>
    </row>
    <row r="251" spans="1:13" s="3" customFormat="1" ht="13.5" customHeight="1" hidden="1" thickBot="1">
      <c r="A251" s="428"/>
      <c r="B251" s="429"/>
      <c r="C251" s="48" t="s">
        <v>4</v>
      </c>
      <c r="D251" s="82">
        <f>D249</f>
        <v>0</v>
      </c>
      <c r="E251" s="82">
        <f aca="true" t="shared" si="97" ref="E251:L251">E249</f>
        <v>0</v>
      </c>
      <c r="F251" s="82">
        <f t="shared" si="97"/>
        <v>0</v>
      </c>
      <c r="G251" s="82">
        <f t="shared" si="97"/>
        <v>0</v>
      </c>
      <c r="H251" s="82">
        <f t="shared" si="97"/>
        <v>0</v>
      </c>
      <c r="I251" s="82">
        <f t="shared" si="97"/>
        <v>0</v>
      </c>
      <c r="J251" s="82">
        <f>J249</f>
        <v>0</v>
      </c>
      <c r="K251" s="82">
        <f>K249</f>
        <v>0</v>
      </c>
      <c r="L251" s="82">
        <f t="shared" si="97"/>
        <v>0</v>
      </c>
      <c r="M251" s="104">
        <f t="shared" si="89"/>
        <v>0</v>
      </c>
    </row>
    <row r="252" spans="1:13" s="3" customFormat="1" ht="13.5" customHeight="1" hidden="1" thickBot="1">
      <c r="A252" s="428"/>
      <c r="B252" s="429"/>
      <c r="C252" s="48" t="s">
        <v>3</v>
      </c>
      <c r="D252" s="82">
        <f>D249</f>
        <v>0</v>
      </c>
      <c r="E252" s="82">
        <f aca="true" t="shared" si="98" ref="E252:L252">E249</f>
        <v>0</v>
      </c>
      <c r="F252" s="82">
        <f t="shared" si="98"/>
        <v>0</v>
      </c>
      <c r="G252" s="82">
        <f t="shared" si="98"/>
        <v>0</v>
      </c>
      <c r="H252" s="82">
        <f t="shared" si="98"/>
        <v>0</v>
      </c>
      <c r="I252" s="82">
        <f t="shared" si="98"/>
        <v>0</v>
      </c>
      <c r="J252" s="82">
        <f>J249</f>
        <v>0</v>
      </c>
      <c r="K252" s="82">
        <f>K249</f>
        <v>0</v>
      </c>
      <c r="L252" s="82">
        <f t="shared" si="98"/>
        <v>0</v>
      </c>
      <c r="M252" s="104">
        <f t="shared" si="89"/>
        <v>0</v>
      </c>
    </row>
    <row r="253" spans="1:13" s="3" customFormat="1" ht="13.5" customHeight="1" hidden="1" thickBot="1">
      <c r="A253" s="428"/>
      <c r="B253" s="429"/>
      <c r="C253" s="63" t="s">
        <v>160</v>
      </c>
      <c r="D253" s="67">
        <f aca="true" t="shared" si="99" ref="D253:L253">D248+D249-D250</f>
        <v>1272.04</v>
      </c>
      <c r="E253" s="67">
        <f t="shared" si="99"/>
        <v>-1435.53</v>
      </c>
      <c r="F253" s="67">
        <f t="shared" si="99"/>
        <v>-1028.54</v>
      </c>
      <c r="G253" s="67">
        <f t="shared" si="99"/>
        <v>-1394.53</v>
      </c>
      <c r="H253" s="67">
        <f t="shared" si="99"/>
        <v>-1118.34</v>
      </c>
      <c r="I253" s="67">
        <f t="shared" si="99"/>
        <v>-776.02</v>
      </c>
      <c r="J253" s="67">
        <f t="shared" si="99"/>
        <v>-1047.32</v>
      </c>
      <c r="K253" s="67">
        <f t="shared" si="99"/>
        <v>-1487.05</v>
      </c>
      <c r="L253" s="67">
        <f t="shared" si="99"/>
        <v>-1562.18</v>
      </c>
      <c r="M253" s="105">
        <f t="shared" si="89"/>
        <v>-8577.470000000001</v>
      </c>
    </row>
    <row r="254" spans="1:13" s="24" customFormat="1" ht="13.5" customHeight="1" hidden="1" thickBot="1">
      <c r="A254" s="428" t="s">
        <v>25</v>
      </c>
      <c r="B254" s="429" t="s">
        <v>26</v>
      </c>
      <c r="C254" s="49" t="s">
        <v>156</v>
      </c>
      <c r="D254" s="82"/>
      <c r="E254" s="82"/>
      <c r="F254" s="82"/>
      <c r="G254" s="82"/>
      <c r="H254" s="82"/>
      <c r="I254" s="82"/>
      <c r="J254" s="82"/>
      <c r="K254" s="82"/>
      <c r="L254" s="82"/>
      <c r="M254" s="104">
        <f t="shared" si="89"/>
        <v>0</v>
      </c>
    </row>
    <row r="255" spans="1:13" s="24" customFormat="1" ht="13.5" customHeight="1" hidden="1" thickBot="1">
      <c r="A255" s="428"/>
      <c r="B255" s="429"/>
      <c r="C255" s="48" t="s">
        <v>1</v>
      </c>
      <c r="D255" s="82"/>
      <c r="E255" s="82"/>
      <c r="F255" s="82"/>
      <c r="G255" s="82"/>
      <c r="H255" s="82"/>
      <c r="I255" s="82"/>
      <c r="J255" s="82"/>
      <c r="K255" s="82"/>
      <c r="L255" s="82"/>
      <c r="M255" s="104">
        <f t="shared" si="89"/>
        <v>0</v>
      </c>
    </row>
    <row r="256" spans="1:13" s="24" customFormat="1" ht="13.5" customHeight="1" hidden="1" thickBot="1">
      <c r="A256" s="428"/>
      <c r="B256" s="429"/>
      <c r="C256" s="50" t="s">
        <v>2</v>
      </c>
      <c r="D256" s="82"/>
      <c r="E256" s="82"/>
      <c r="F256" s="82"/>
      <c r="G256" s="82"/>
      <c r="H256" s="82"/>
      <c r="I256" s="82"/>
      <c r="J256" s="82"/>
      <c r="K256" s="82"/>
      <c r="L256" s="82"/>
      <c r="M256" s="104">
        <f t="shared" si="89"/>
        <v>0</v>
      </c>
    </row>
    <row r="257" spans="1:13" s="24" customFormat="1" ht="13.5" customHeight="1" hidden="1" thickBot="1">
      <c r="A257" s="428"/>
      <c r="B257" s="429"/>
      <c r="C257" s="48" t="s">
        <v>4</v>
      </c>
      <c r="D257" s="82"/>
      <c r="E257" s="82"/>
      <c r="F257" s="82"/>
      <c r="G257" s="82"/>
      <c r="H257" s="82"/>
      <c r="I257" s="82"/>
      <c r="J257" s="82"/>
      <c r="K257" s="82"/>
      <c r="L257" s="82"/>
      <c r="M257" s="104">
        <f t="shared" si="89"/>
        <v>0</v>
      </c>
    </row>
    <row r="258" spans="1:13" s="24" customFormat="1" ht="13.5" customHeight="1" hidden="1" thickBot="1">
      <c r="A258" s="428"/>
      <c r="B258" s="429"/>
      <c r="C258" s="48" t="s">
        <v>3</v>
      </c>
      <c r="D258" s="82"/>
      <c r="E258" s="82"/>
      <c r="F258" s="82"/>
      <c r="G258" s="82"/>
      <c r="H258" s="82"/>
      <c r="I258" s="82"/>
      <c r="J258" s="82"/>
      <c r="K258" s="82"/>
      <c r="L258" s="82"/>
      <c r="M258" s="104">
        <f t="shared" si="89"/>
        <v>0</v>
      </c>
    </row>
    <row r="259" spans="1:13" s="3" customFormat="1" ht="13.5" customHeight="1" hidden="1" thickBot="1">
      <c r="A259" s="428"/>
      <c r="B259" s="429"/>
      <c r="C259" s="63" t="s">
        <v>160</v>
      </c>
      <c r="D259" s="67">
        <f aca="true" t="shared" si="100" ref="D259:L259">D254+D255-D256</f>
        <v>0</v>
      </c>
      <c r="E259" s="67">
        <f t="shared" si="100"/>
        <v>0</v>
      </c>
      <c r="F259" s="67">
        <f t="shared" si="100"/>
        <v>0</v>
      </c>
      <c r="G259" s="67">
        <f t="shared" si="100"/>
        <v>0</v>
      </c>
      <c r="H259" s="67">
        <f t="shared" si="100"/>
        <v>0</v>
      </c>
      <c r="I259" s="67">
        <f t="shared" si="100"/>
        <v>0</v>
      </c>
      <c r="J259" s="67"/>
      <c r="K259" s="67"/>
      <c r="L259" s="67">
        <f t="shared" si="100"/>
        <v>0</v>
      </c>
      <c r="M259" s="105">
        <f t="shared" si="89"/>
        <v>0</v>
      </c>
    </row>
    <row r="260" spans="1:13" s="3" customFormat="1" ht="13.5" customHeight="1" hidden="1" thickBot="1">
      <c r="A260" s="428" t="s">
        <v>29</v>
      </c>
      <c r="B260" s="429" t="s">
        <v>30</v>
      </c>
      <c r="C260" s="49" t="s">
        <v>156</v>
      </c>
      <c r="D260" s="73"/>
      <c r="E260" s="73"/>
      <c r="F260" s="73"/>
      <c r="G260" s="73"/>
      <c r="H260" s="73"/>
      <c r="I260" s="73"/>
      <c r="J260" s="73"/>
      <c r="K260" s="73"/>
      <c r="L260" s="73"/>
      <c r="M260" s="104">
        <f t="shared" si="89"/>
        <v>0</v>
      </c>
    </row>
    <row r="261" spans="1:13" s="3" customFormat="1" ht="13.5" customHeight="1" hidden="1" thickBot="1">
      <c r="A261" s="428"/>
      <c r="B261" s="429"/>
      <c r="C261" s="48" t="s">
        <v>1</v>
      </c>
      <c r="D261" s="73"/>
      <c r="E261" s="73"/>
      <c r="F261" s="73"/>
      <c r="G261" s="73"/>
      <c r="H261" s="73"/>
      <c r="I261" s="73"/>
      <c r="J261" s="73"/>
      <c r="K261" s="73"/>
      <c r="L261" s="73"/>
      <c r="M261" s="104">
        <f t="shared" si="89"/>
        <v>0</v>
      </c>
    </row>
    <row r="262" spans="1:13" s="3" customFormat="1" ht="13.5" customHeight="1" hidden="1" thickBot="1">
      <c r="A262" s="428"/>
      <c r="B262" s="429"/>
      <c r="C262" s="50" t="s">
        <v>2</v>
      </c>
      <c r="D262" s="73"/>
      <c r="E262" s="73"/>
      <c r="F262" s="73"/>
      <c r="G262" s="73"/>
      <c r="H262" s="73"/>
      <c r="I262" s="73"/>
      <c r="J262" s="73"/>
      <c r="K262" s="73"/>
      <c r="L262" s="73"/>
      <c r="M262" s="104">
        <f t="shared" si="89"/>
        <v>0</v>
      </c>
    </row>
    <row r="263" spans="1:13" s="3" customFormat="1" ht="13.5" customHeight="1" hidden="1" thickBot="1">
      <c r="A263" s="428"/>
      <c r="B263" s="429"/>
      <c r="C263" s="48" t="s">
        <v>4</v>
      </c>
      <c r="D263" s="82">
        <f>D261</f>
        <v>0</v>
      </c>
      <c r="E263" s="82">
        <f>E261</f>
        <v>0</v>
      </c>
      <c r="F263" s="82">
        <f>F261</f>
        <v>0</v>
      </c>
      <c r="G263" s="82">
        <f aca="true" t="shared" si="101" ref="G263:L263">G261</f>
        <v>0</v>
      </c>
      <c r="H263" s="82">
        <f t="shared" si="101"/>
        <v>0</v>
      </c>
      <c r="I263" s="82">
        <f t="shared" si="101"/>
        <v>0</v>
      </c>
      <c r="J263" s="82">
        <f t="shared" si="101"/>
        <v>0</v>
      </c>
      <c r="K263" s="82">
        <f t="shared" si="101"/>
        <v>0</v>
      </c>
      <c r="L263" s="82">
        <f t="shared" si="101"/>
        <v>0</v>
      </c>
      <c r="M263" s="104">
        <f t="shared" si="89"/>
        <v>0</v>
      </c>
    </row>
    <row r="264" spans="1:13" s="3" customFormat="1" ht="13.5" customHeight="1" hidden="1" thickBot="1">
      <c r="A264" s="428"/>
      <c r="B264" s="429"/>
      <c r="C264" s="48" t="s">
        <v>3</v>
      </c>
      <c r="D264" s="82">
        <f>D261</f>
        <v>0</v>
      </c>
      <c r="E264" s="82">
        <f>E261</f>
        <v>0</v>
      </c>
      <c r="F264" s="82">
        <f>F261</f>
        <v>0</v>
      </c>
      <c r="G264" s="82">
        <f aca="true" t="shared" si="102" ref="G264:L264">G261</f>
        <v>0</v>
      </c>
      <c r="H264" s="82">
        <f t="shared" si="102"/>
        <v>0</v>
      </c>
      <c r="I264" s="82">
        <f t="shared" si="102"/>
        <v>0</v>
      </c>
      <c r="J264" s="82">
        <f t="shared" si="102"/>
        <v>0</v>
      </c>
      <c r="K264" s="82">
        <f t="shared" si="102"/>
        <v>0</v>
      </c>
      <c r="L264" s="82">
        <f t="shared" si="102"/>
        <v>0</v>
      </c>
      <c r="M264" s="104">
        <f t="shared" si="89"/>
        <v>0</v>
      </c>
    </row>
    <row r="265" spans="1:13" s="3" customFormat="1" ht="13.5" customHeight="1" hidden="1" thickBot="1">
      <c r="A265" s="428"/>
      <c r="B265" s="429"/>
      <c r="C265" s="63" t="s">
        <v>160</v>
      </c>
      <c r="D265" s="67">
        <f aca="true" t="shared" si="103" ref="D265:L265">D260+D261-D262</f>
        <v>0</v>
      </c>
      <c r="E265" s="67">
        <f t="shared" si="103"/>
        <v>0</v>
      </c>
      <c r="F265" s="67">
        <f t="shared" si="103"/>
        <v>0</v>
      </c>
      <c r="G265" s="67">
        <f t="shared" si="103"/>
        <v>0</v>
      </c>
      <c r="H265" s="67">
        <f t="shared" si="103"/>
        <v>0</v>
      </c>
      <c r="I265" s="67">
        <f t="shared" si="103"/>
        <v>0</v>
      </c>
      <c r="J265" s="67">
        <f t="shared" si="103"/>
        <v>0</v>
      </c>
      <c r="K265" s="67">
        <f t="shared" si="103"/>
        <v>0</v>
      </c>
      <c r="L265" s="67">
        <f t="shared" si="103"/>
        <v>0</v>
      </c>
      <c r="M265" s="105">
        <f t="shared" si="89"/>
        <v>0</v>
      </c>
    </row>
    <row r="266" spans="1:13" s="3" customFormat="1" ht="14.25" customHeight="1" hidden="1" thickBot="1">
      <c r="A266" s="434" t="s">
        <v>31</v>
      </c>
      <c r="B266" s="430" t="s">
        <v>34</v>
      </c>
      <c r="C266" s="49" t="s">
        <v>156</v>
      </c>
      <c r="D266" s="73"/>
      <c r="E266" s="73"/>
      <c r="F266" s="73"/>
      <c r="G266" s="73"/>
      <c r="H266" s="73"/>
      <c r="I266" s="73"/>
      <c r="J266" s="73"/>
      <c r="K266" s="73"/>
      <c r="L266" s="73"/>
      <c r="M266" s="104">
        <f t="shared" si="89"/>
        <v>0</v>
      </c>
    </row>
    <row r="267" spans="1:13" s="3" customFormat="1" ht="13.5" customHeight="1" hidden="1" thickBot="1">
      <c r="A267" s="433"/>
      <c r="B267" s="431"/>
      <c r="C267" s="48" t="s">
        <v>1</v>
      </c>
      <c r="D267" s="73"/>
      <c r="E267" s="73"/>
      <c r="F267" s="73"/>
      <c r="G267" s="73"/>
      <c r="H267" s="73"/>
      <c r="I267" s="73"/>
      <c r="J267" s="73"/>
      <c r="K267" s="73"/>
      <c r="L267" s="73"/>
      <c r="M267" s="104">
        <f t="shared" si="89"/>
        <v>0</v>
      </c>
    </row>
    <row r="268" spans="1:13" s="3" customFormat="1" ht="13.5" customHeight="1" hidden="1" thickBot="1">
      <c r="A268" s="433"/>
      <c r="B268" s="431"/>
      <c r="C268" s="50" t="s">
        <v>2</v>
      </c>
      <c r="D268" s="73"/>
      <c r="E268" s="73"/>
      <c r="F268" s="73"/>
      <c r="G268" s="73"/>
      <c r="H268" s="73"/>
      <c r="I268" s="73"/>
      <c r="J268" s="73"/>
      <c r="K268" s="73"/>
      <c r="L268" s="73"/>
      <c r="M268" s="104">
        <f t="shared" si="89"/>
        <v>0</v>
      </c>
    </row>
    <row r="269" spans="1:13" s="3" customFormat="1" ht="13.5" customHeight="1" hidden="1" thickBot="1">
      <c r="A269" s="433"/>
      <c r="B269" s="431"/>
      <c r="C269" s="48" t="s">
        <v>4</v>
      </c>
      <c r="D269" s="82">
        <f>D267</f>
        <v>0</v>
      </c>
      <c r="E269" s="82">
        <f>E267</f>
        <v>0</v>
      </c>
      <c r="F269" s="82">
        <f>F267</f>
        <v>0</v>
      </c>
      <c r="G269" s="82">
        <f aca="true" t="shared" si="104" ref="G269:L269">G267</f>
        <v>0</v>
      </c>
      <c r="H269" s="82">
        <f t="shared" si="104"/>
        <v>0</v>
      </c>
      <c r="I269" s="82">
        <f t="shared" si="104"/>
        <v>0</v>
      </c>
      <c r="J269" s="82">
        <f t="shared" si="104"/>
        <v>0</v>
      </c>
      <c r="K269" s="82">
        <f t="shared" si="104"/>
        <v>0</v>
      </c>
      <c r="L269" s="82">
        <f t="shared" si="104"/>
        <v>0</v>
      </c>
      <c r="M269" s="104">
        <f t="shared" si="89"/>
        <v>0</v>
      </c>
    </row>
    <row r="270" spans="1:13" s="3" customFormat="1" ht="13.5" customHeight="1" hidden="1" thickBot="1">
      <c r="A270" s="433"/>
      <c r="B270" s="431"/>
      <c r="C270" s="48" t="s">
        <v>3</v>
      </c>
      <c r="D270" s="82">
        <f>D267</f>
        <v>0</v>
      </c>
      <c r="E270" s="82">
        <f>E267</f>
        <v>0</v>
      </c>
      <c r="F270" s="82">
        <f>F267</f>
        <v>0</v>
      </c>
      <c r="G270" s="82">
        <f aca="true" t="shared" si="105" ref="G270:L270">G267</f>
        <v>0</v>
      </c>
      <c r="H270" s="82">
        <f t="shared" si="105"/>
        <v>0</v>
      </c>
      <c r="I270" s="82">
        <f t="shared" si="105"/>
        <v>0</v>
      </c>
      <c r="J270" s="82">
        <f t="shared" si="105"/>
        <v>0</v>
      </c>
      <c r="K270" s="82">
        <f t="shared" si="105"/>
        <v>0</v>
      </c>
      <c r="L270" s="82">
        <f t="shared" si="105"/>
        <v>0</v>
      </c>
      <c r="M270" s="104">
        <f t="shared" si="89"/>
        <v>0</v>
      </c>
    </row>
    <row r="271" spans="1:13" s="3" customFormat="1" ht="13.5" customHeight="1" hidden="1" thickBot="1">
      <c r="A271" s="433"/>
      <c r="B271" s="432"/>
      <c r="C271" s="63" t="s">
        <v>160</v>
      </c>
      <c r="D271" s="67">
        <f aca="true" t="shared" si="106" ref="D271:L271">D266+D267-D268</f>
        <v>0</v>
      </c>
      <c r="E271" s="67">
        <f t="shared" si="106"/>
        <v>0</v>
      </c>
      <c r="F271" s="67">
        <f t="shared" si="106"/>
        <v>0</v>
      </c>
      <c r="G271" s="67">
        <f t="shared" si="106"/>
        <v>0</v>
      </c>
      <c r="H271" s="67">
        <f t="shared" si="106"/>
        <v>0</v>
      </c>
      <c r="I271" s="67">
        <f t="shared" si="106"/>
        <v>0</v>
      </c>
      <c r="J271" s="67">
        <f t="shared" si="106"/>
        <v>0</v>
      </c>
      <c r="K271" s="67">
        <f t="shared" si="106"/>
        <v>0</v>
      </c>
      <c r="L271" s="67">
        <f t="shared" si="106"/>
        <v>0</v>
      </c>
      <c r="M271" s="105">
        <f t="shared" si="89"/>
        <v>0</v>
      </c>
    </row>
    <row r="272" spans="1:13" s="3" customFormat="1" ht="13.5" customHeight="1" hidden="1" thickBot="1">
      <c r="A272" s="433"/>
      <c r="B272" s="430" t="s">
        <v>28</v>
      </c>
      <c r="C272" s="49" t="s">
        <v>156</v>
      </c>
      <c r="D272" s="73"/>
      <c r="E272" s="73"/>
      <c r="F272" s="73"/>
      <c r="G272" s="73"/>
      <c r="H272" s="73"/>
      <c r="I272" s="73"/>
      <c r="J272" s="73"/>
      <c r="K272" s="73"/>
      <c r="L272" s="73"/>
      <c r="M272" s="104">
        <f t="shared" si="89"/>
        <v>0</v>
      </c>
    </row>
    <row r="273" spans="1:13" s="3" customFormat="1" ht="13.5" customHeight="1" hidden="1" thickBot="1">
      <c r="A273" s="433"/>
      <c r="B273" s="431"/>
      <c r="C273" s="48" t="s">
        <v>1</v>
      </c>
      <c r="D273" s="73"/>
      <c r="E273" s="73"/>
      <c r="F273" s="73"/>
      <c r="G273" s="73"/>
      <c r="H273" s="73"/>
      <c r="I273" s="73"/>
      <c r="J273" s="73"/>
      <c r="K273" s="73"/>
      <c r="L273" s="73"/>
      <c r="M273" s="104">
        <f t="shared" si="89"/>
        <v>0</v>
      </c>
    </row>
    <row r="274" spans="1:13" s="3" customFormat="1" ht="13.5" customHeight="1" hidden="1" thickBot="1">
      <c r="A274" s="433"/>
      <c r="B274" s="431"/>
      <c r="C274" s="50" t="s">
        <v>2</v>
      </c>
      <c r="D274" s="73"/>
      <c r="E274" s="73"/>
      <c r="F274" s="73"/>
      <c r="G274" s="73"/>
      <c r="H274" s="73"/>
      <c r="I274" s="73"/>
      <c r="J274" s="73"/>
      <c r="K274" s="73"/>
      <c r="L274" s="73"/>
      <c r="M274" s="104">
        <f t="shared" si="89"/>
        <v>0</v>
      </c>
    </row>
    <row r="275" spans="1:13" s="3" customFormat="1" ht="13.5" customHeight="1" hidden="1" thickBot="1">
      <c r="A275" s="433"/>
      <c r="B275" s="431"/>
      <c r="C275" s="48" t="s">
        <v>4</v>
      </c>
      <c r="D275" s="82">
        <f>D273</f>
        <v>0</v>
      </c>
      <c r="E275" s="82">
        <f>E273</f>
        <v>0</v>
      </c>
      <c r="F275" s="82">
        <f>F273</f>
        <v>0</v>
      </c>
      <c r="G275" s="82">
        <f aca="true" t="shared" si="107" ref="G275:L275">G273</f>
        <v>0</v>
      </c>
      <c r="H275" s="82">
        <f t="shared" si="107"/>
        <v>0</v>
      </c>
      <c r="I275" s="82">
        <f t="shared" si="107"/>
        <v>0</v>
      </c>
      <c r="J275" s="82">
        <f t="shared" si="107"/>
        <v>0</v>
      </c>
      <c r="K275" s="82">
        <f t="shared" si="107"/>
        <v>0</v>
      </c>
      <c r="L275" s="82">
        <f t="shared" si="107"/>
        <v>0</v>
      </c>
      <c r="M275" s="104">
        <f t="shared" si="89"/>
        <v>0</v>
      </c>
    </row>
    <row r="276" spans="1:13" s="3" customFormat="1" ht="13.5" customHeight="1" hidden="1" thickBot="1">
      <c r="A276" s="433"/>
      <c r="B276" s="431"/>
      <c r="C276" s="48" t="s">
        <v>3</v>
      </c>
      <c r="D276" s="82">
        <f>D273</f>
        <v>0</v>
      </c>
      <c r="E276" s="82">
        <f>E273</f>
        <v>0</v>
      </c>
      <c r="F276" s="82">
        <f>F273</f>
        <v>0</v>
      </c>
      <c r="G276" s="82">
        <f aca="true" t="shared" si="108" ref="G276:L276">G273</f>
        <v>0</v>
      </c>
      <c r="H276" s="82">
        <f t="shared" si="108"/>
        <v>0</v>
      </c>
      <c r="I276" s="82">
        <f t="shared" si="108"/>
        <v>0</v>
      </c>
      <c r="J276" s="82">
        <f t="shared" si="108"/>
        <v>0</v>
      </c>
      <c r="K276" s="82">
        <f t="shared" si="108"/>
        <v>0</v>
      </c>
      <c r="L276" s="82">
        <f t="shared" si="108"/>
        <v>0</v>
      </c>
      <c r="M276" s="104">
        <f t="shared" si="89"/>
        <v>0</v>
      </c>
    </row>
    <row r="277" spans="1:13" s="3" customFormat="1" ht="13.5" customHeight="1" hidden="1" thickBot="1">
      <c r="A277" s="435"/>
      <c r="B277" s="432"/>
      <c r="C277" s="63" t="s">
        <v>160</v>
      </c>
      <c r="D277" s="67">
        <f aca="true" t="shared" si="109" ref="D277:L277">D272+D273-D274</f>
        <v>0</v>
      </c>
      <c r="E277" s="67">
        <f t="shared" si="109"/>
        <v>0</v>
      </c>
      <c r="F277" s="67">
        <f t="shared" si="109"/>
        <v>0</v>
      </c>
      <c r="G277" s="67">
        <f t="shared" si="109"/>
        <v>0</v>
      </c>
      <c r="H277" s="67">
        <f t="shared" si="109"/>
        <v>0</v>
      </c>
      <c r="I277" s="67">
        <f t="shared" si="109"/>
        <v>0</v>
      </c>
      <c r="J277" s="67">
        <f t="shared" si="109"/>
        <v>0</v>
      </c>
      <c r="K277" s="67">
        <f t="shared" si="109"/>
        <v>0</v>
      </c>
      <c r="L277" s="67">
        <f t="shared" si="109"/>
        <v>0</v>
      </c>
      <c r="M277" s="105">
        <f t="shared" si="89"/>
        <v>0</v>
      </c>
    </row>
    <row r="278" spans="1:13" s="3" customFormat="1" ht="13.5" customHeight="1" hidden="1" thickBot="1">
      <c r="A278" s="428" t="s">
        <v>35</v>
      </c>
      <c r="B278" s="429" t="s">
        <v>36</v>
      </c>
      <c r="C278" s="49" t="s">
        <v>156</v>
      </c>
      <c r="D278" s="73"/>
      <c r="E278" s="73"/>
      <c r="F278" s="73"/>
      <c r="G278" s="73">
        <v>0</v>
      </c>
      <c r="H278" s="73"/>
      <c r="I278" s="73"/>
      <c r="J278" s="73"/>
      <c r="K278" s="73"/>
      <c r="L278" s="73"/>
      <c r="M278" s="104">
        <f t="shared" si="89"/>
        <v>0</v>
      </c>
    </row>
    <row r="279" spans="1:13" s="3" customFormat="1" ht="13.5" customHeight="1" hidden="1" thickBot="1">
      <c r="A279" s="428"/>
      <c r="B279" s="429"/>
      <c r="C279" s="48" t="s">
        <v>1</v>
      </c>
      <c r="D279" s="73"/>
      <c r="E279" s="73"/>
      <c r="F279" s="73"/>
      <c r="G279" s="73">
        <v>0</v>
      </c>
      <c r="H279" s="73"/>
      <c r="I279" s="73"/>
      <c r="J279" s="73"/>
      <c r="K279" s="73"/>
      <c r="L279" s="73"/>
      <c r="M279" s="104">
        <f t="shared" si="89"/>
        <v>0</v>
      </c>
    </row>
    <row r="280" spans="1:13" s="3" customFormat="1" ht="13.5" customHeight="1" hidden="1" thickBot="1">
      <c r="A280" s="428"/>
      <c r="B280" s="429"/>
      <c r="C280" s="50" t="s">
        <v>2</v>
      </c>
      <c r="D280" s="73"/>
      <c r="E280" s="73"/>
      <c r="F280" s="73"/>
      <c r="G280" s="73">
        <v>0.01</v>
      </c>
      <c r="H280" s="73"/>
      <c r="I280" s="73"/>
      <c r="J280" s="73"/>
      <c r="K280" s="73"/>
      <c r="L280" s="73"/>
      <c r="M280" s="104">
        <f t="shared" si="89"/>
        <v>0.01</v>
      </c>
    </row>
    <row r="281" spans="1:13" s="3" customFormat="1" ht="13.5" customHeight="1" hidden="1" thickBot="1">
      <c r="A281" s="428"/>
      <c r="B281" s="429"/>
      <c r="C281" s="48" t="s">
        <v>4</v>
      </c>
      <c r="D281" s="82">
        <f aca="true" t="shared" si="110" ref="D281:K281">D279</f>
        <v>0</v>
      </c>
      <c r="E281" s="82">
        <f t="shared" si="110"/>
        <v>0</v>
      </c>
      <c r="F281" s="82">
        <f t="shared" si="110"/>
        <v>0</v>
      </c>
      <c r="G281" s="82">
        <f t="shared" si="110"/>
        <v>0</v>
      </c>
      <c r="H281" s="82">
        <f t="shared" si="110"/>
        <v>0</v>
      </c>
      <c r="I281" s="82">
        <f t="shared" si="110"/>
        <v>0</v>
      </c>
      <c r="J281" s="82">
        <f t="shared" si="110"/>
        <v>0</v>
      </c>
      <c r="K281" s="82">
        <f t="shared" si="110"/>
        <v>0</v>
      </c>
      <c r="L281" s="82">
        <f>L279</f>
        <v>0</v>
      </c>
      <c r="M281" s="104">
        <f t="shared" si="89"/>
        <v>0</v>
      </c>
    </row>
    <row r="282" spans="1:13" s="3" customFormat="1" ht="13.5" customHeight="1" hidden="1" thickBot="1">
      <c r="A282" s="428"/>
      <c r="B282" s="429"/>
      <c r="C282" s="48" t="s">
        <v>3</v>
      </c>
      <c r="D282" s="82">
        <f aca="true" t="shared" si="111" ref="D282:K282">D279</f>
        <v>0</v>
      </c>
      <c r="E282" s="82">
        <f t="shared" si="111"/>
        <v>0</v>
      </c>
      <c r="F282" s="82">
        <f t="shared" si="111"/>
        <v>0</v>
      </c>
      <c r="G282" s="82">
        <f t="shared" si="111"/>
        <v>0</v>
      </c>
      <c r="H282" s="82">
        <f t="shared" si="111"/>
        <v>0</v>
      </c>
      <c r="I282" s="82">
        <f t="shared" si="111"/>
        <v>0</v>
      </c>
      <c r="J282" s="82">
        <f t="shared" si="111"/>
        <v>0</v>
      </c>
      <c r="K282" s="82">
        <f t="shared" si="111"/>
        <v>0</v>
      </c>
      <c r="L282" s="82">
        <f>L279</f>
        <v>0</v>
      </c>
      <c r="M282" s="104">
        <f t="shared" si="89"/>
        <v>0</v>
      </c>
    </row>
    <row r="283" spans="1:13" s="3" customFormat="1" ht="13.5" customHeight="1" hidden="1" thickBot="1">
      <c r="A283" s="428"/>
      <c r="B283" s="429"/>
      <c r="C283" s="63" t="s">
        <v>160</v>
      </c>
      <c r="D283" s="67">
        <f aca="true" t="shared" si="112" ref="D283:L283">D278+D279-D280</f>
        <v>0</v>
      </c>
      <c r="E283" s="67">
        <f t="shared" si="112"/>
        <v>0</v>
      </c>
      <c r="F283" s="67">
        <f t="shared" si="112"/>
        <v>0</v>
      </c>
      <c r="G283" s="67">
        <f t="shared" si="112"/>
        <v>-0.01</v>
      </c>
      <c r="H283" s="67">
        <f t="shared" si="112"/>
        <v>0</v>
      </c>
      <c r="I283" s="67">
        <f t="shared" si="112"/>
        <v>0</v>
      </c>
      <c r="J283" s="67">
        <f t="shared" si="112"/>
        <v>0</v>
      </c>
      <c r="K283" s="67">
        <f t="shared" si="112"/>
        <v>0</v>
      </c>
      <c r="L283" s="67">
        <f t="shared" si="112"/>
        <v>0</v>
      </c>
      <c r="M283" s="105">
        <f t="shared" si="89"/>
        <v>-0.01</v>
      </c>
    </row>
    <row r="284" spans="1:13" s="3" customFormat="1" ht="13.5" customHeight="1" hidden="1" thickBot="1">
      <c r="A284" s="428" t="s">
        <v>35</v>
      </c>
      <c r="B284" s="429" t="s">
        <v>55</v>
      </c>
      <c r="C284" s="49" t="s">
        <v>156</v>
      </c>
      <c r="D284" s="73"/>
      <c r="E284" s="73">
        <v>137.76</v>
      </c>
      <c r="F284" s="73"/>
      <c r="G284" s="73"/>
      <c r="H284" s="73"/>
      <c r="I284" s="73"/>
      <c r="J284" s="73"/>
      <c r="K284" s="73"/>
      <c r="L284" s="73"/>
      <c r="M284" s="104">
        <f t="shared" si="89"/>
        <v>137.76</v>
      </c>
    </row>
    <row r="285" spans="1:13" s="3" customFormat="1" ht="13.5" customHeight="1" hidden="1" thickBot="1">
      <c r="A285" s="428"/>
      <c r="B285" s="429"/>
      <c r="C285" s="48" t="s">
        <v>1</v>
      </c>
      <c r="D285" s="73"/>
      <c r="E285" s="73">
        <v>0</v>
      </c>
      <c r="F285" s="73"/>
      <c r="G285" s="73"/>
      <c r="H285" s="73"/>
      <c r="I285" s="73"/>
      <c r="J285" s="73"/>
      <c r="K285" s="73"/>
      <c r="L285" s="73"/>
      <c r="M285" s="104">
        <f t="shared" si="89"/>
        <v>0</v>
      </c>
    </row>
    <row r="286" spans="1:13" s="3" customFormat="1" ht="13.5" customHeight="1" hidden="1" thickBot="1">
      <c r="A286" s="428"/>
      <c r="B286" s="429"/>
      <c r="C286" s="50" t="s">
        <v>2</v>
      </c>
      <c r="D286" s="73"/>
      <c r="E286" s="73">
        <v>0</v>
      </c>
      <c r="F286" s="73"/>
      <c r="G286" s="73"/>
      <c r="H286" s="73"/>
      <c r="I286" s="73"/>
      <c r="J286" s="73"/>
      <c r="K286" s="73"/>
      <c r="L286" s="73"/>
      <c r="M286" s="104">
        <f t="shared" si="89"/>
        <v>0</v>
      </c>
    </row>
    <row r="287" spans="1:13" s="3" customFormat="1" ht="13.5" customHeight="1" hidden="1" thickBot="1">
      <c r="A287" s="428"/>
      <c r="B287" s="429"/>
      <c r="C287" s="48" t="s">
        <v>4</v>
      </c>
      <c r="D287" s="82">
        <f>D291</f>
        <v>0</v>
      </c>
      <c r="E287" s="82">
        <f aca="true" t="shared" si="113" ref="E287:L287">E291</f>
        <v>0</v>
      </c>
      <c r="F287" s="82">
        <f t="shared" si="113"/>
        <v>0</v>
      </c>
      <c r="G287" s="82">
        <f t="shared" si="113"/>
        <v>0</v>
      </c>
      <c r="H287" s="82">
        <f t="shared" si="113"/>
        <v>0</v>
      </c>
      <c r="I287" s="82">
        <f t="shared" si="113"/>
        <v>0</v>
      </c>
      <c r="J287" s="82">
        <f t="shared" si="113"/>
        <v>0</v>
      </c>
      <c r="K287" s="82">
        <f t="shared" si="113"/>
        <v>0</v>
      </c>
      <c r="L287" s="82">
        <f t="shared" si="113"/>
        <v>0</v>
      </c>
      <c r="M287" s="104">
        <f t="shared" si="89"/>
        <v>0</v>
      </c>
    </row>
    <row r="288" spans="1:13" s="3" customFormat="1" ht="13.5" customHeight="1" hidden="1" thickBot="1">
      <c r="A288" s="428"/>
      <c r="B288" s="429"/>
      <c r="C288" s="48" t="s">
        <v>3</v>
      </c>
      <c r="D288" s="82">
        <f>D291</f>
        <v>0</v>
      </c>
      <c r="E288" s="82">
        <f aca="true" t="shared" si="114" ref="E288:L288">E291</f>
        <v>0</v>
      </c>
      <c r="F288" s="82">
        <f t="shared" si="114"/>
        <v>0</v>
      </c>
      <c r="G288" s="82">
        <f t="shared" si="114"/>
        <v>0</v>
      </c>
      <c r="H288" s="82">
        <f t="shared" si="114"/>
        <v>0</v>
      </c>
      <c r="I288" s="82">
        <f t="shared" si="114"/>
        <v>0</v>
      </c>
      <c r="J288" s="82">
        <f t="shared" si="114"/>
        <v>0</v>
      </c>
      <c r="K288" s="82">
        <f t="shared" si="114"/>
        <v>0</v>
      </c>
      <c r="L288" s="82">
        <f t="shared" si="114"/>
        <v>0</v>
      </c>
      <c r="M288" s="104">
        <f t="shared" si="89"/>
        <v>0</v>
      </c>
    </row>
    <row r="289" spans="1:13" s="3" customFormat="1" ht="13.5" customHeight="1" hidden="1" thickBot="1">
      <c r="A289" s="428"/>
      <c r="B289" s="429"/>
      <c r="C289" s="63" t="s">
        <v>160</v>
      </c>
      <c r="D289" s="67">
        <f aca="true" t="shared" si="115" ref="D289:L289">D284+D285-D286</f>
        <v>0</v>
      </c>
      <c r="E289" s="67">
        <f t="shared" si="115"/>
        <v>137.76</v>
      </c>
      <c r="F289" s="67">
        <f t="shared" si="115"/>
        <v>0</v>
      </c>
      <c r="G289" s="67">
        <f t="shared" si="115"/>
        <v>0</v>
      </c>
      <c r="H289" s="67">
        <f t="shared" si="115"/>
        <v>0</v>
      </c>
      <c r="I289" s="67">
        <f t="shared" si="115"/>
        <v>0</v>
      </c>
      <c r="J289" s="67">
        <f t="shared" si="115"/>
        <v>0</v>
      </c>
      <c r="K289" s="67">
        <f t="shared" si="115"/>
        <v>0</v>
      </c>
      <c r="L289" s="67">
        <f t="shared" si="115"/>
        <v>0</v>
      </c>
      <c r="M289" s="105">
        <f t="shared" si="89"/>
        <v>137.76</v>
      </c>
    </row>
    <row r="290" spans="1:13" s="3" customFormat="1" ht="13.5" customHeight="1" hidden="1" thickBot="1">
      <c r="A290" s="428" t="s">
        <v>35</v>
      </c>
      <c r="B290" s="429" t="s">
        <v>27</v>
      </c>
      <c r="C290" s="49" t="s">
        <v>156</v>
      </c>
      <c r="D290" s="73"/>
      <c r="E290" s="73">
        <v>7461</v>
      </c>
      <c r="F290" s="73"/>
      <c r="G290" s="73"/>
      <c r="H290" s="73"/>
      <c r="I290" s="73"/>
      <c r="J290" s="73"/>
      <c r="K290" s="73"/>
      <c r="L290" s="73"/>
      <c r="M290" s="104">
        <f t="shared" si="89"/>
        <v>7461</v>
      </c>
    </row>
    <row r="291" spans="1:13" s="3" customFormat="1" ht="13.5" customHeight="1" hidden="1" thickBot="1">
      <c r="A291" s="428"/>
      <c r="B291" s="429"/>
      <c r="C291" s="48" t="s">
        <v>1</v>
      </c>
      <c r="D291" s="73"/>
      <c r="E291" s="73">
        <v>0</v>
      </c>
      <c r="F291" s="73"/>
      <c r="G291" s="73"/>
      <c r="H291" s="73"/>
      <c r="I291" s="73"/>
      <c r="J291" s="73"/>
      <c r="K291" s="73"/>
      <c r="L291" s="73"/>
      <c r="M291" s="104">
        <f t="shared" si="89"/>
        <v>0</v>
      </c>
    </row>
    <row r="292" spans="1:13" s="3" customFormat="1" ht="13.5" customHeight="1" hidden="1" thickBot="1">
      <c r="A292" s="428"/>
      <c r="B292" s="429"/>
      <c r="C292" s="50" t="s">
        <v>2</v>
      </c>
      <c r="D292" s="73"/>
      <c r="E292" s="73">
        <v>0</v>
      </c>
      <c r="F292" s="73"/>
      <c r="G292" s="73"/>
      <c r="H292" s="73"/>
      <c r="I292" s="73"/>
      <c r="J292" s="73"/>
      <c r="K292" s="73"/>
      <c r="L292" s="73"/>
      <c r="M292" s="104">
        <f t="shared" si="89"/>
        <v>0</v>
      </c>
    </row>
    <row r="293" spans="1:13" s="3" customFormat="1" ht="13.5" customHeight="1" hidden="1" thickBot="1">
      <c r="A293" s="428"/>
      <c r="B293" s="429"/>
      <c r="C293" s="48" t="s">
        <v>4</v>
      </c>
      <c r="D293" s="82">
        <f>D291</f>
        <v>0</v>
      </c>
      <c r="E293" s="82">
        <f aca="true" t="shared" si="116" ref="E293:L293">E291</f>
        <v>0</v>
      </c>
      <c r="F293" s="82">
        <f t="shared" si="116"/>
        <v>0</v>
      </c>
      <c r="G293" s="82">
        <f t="shared" si="116"/>
        <v>0</v>
      </c>
      <c r="H293" s="82">
        <f t="shared" si="116"/>
        <v>0</v>
      </c>
      <c r="I293" s="82">
        <f t="shared" si="116"/>
        <v>0</v>
      </c>
      <c r="J293" s="82">
        <f t="shared" si="116"/>
        <v>0</v>
      </c>
      <c r="K293" s="82">
        <f t="shared" si="116"/>
        <v>0</v>
      </c>
      <c r="L293" s="82">
        <f t="shared" si="116"/>
        <v>0</v>
      </c>
      <c r="M293" s="104">
        <f t="shared" si="89"/>
        <v>0</v>
      </c>
    </row>
    <row r="294" spans="1:13" s="3" customFormat="1" ht="13.5" customHeight="1" hidden="1" thickBot="1">
      <c r="A294" s="428"/>
      <c r="B294" s="429"/>
      <c r="C294" s="48" t="s">
        <v>3</v>
      </c>
      <c r="D294" s="82">
        <f>D291</f>
        <v>0</v>
      </c>
      <c r="E294" s="82">
        <f aca="true" t="shared" si="117" ref="E294:L294">E291</f>
        <v>0</v>
      </c>
      <c r="F294" s="82">
        <f t="shared" si="117"/>
        <v>0</v>
      </c>
      <c r="G294" s="82">
        <f t="shared" si="117"/>
        <v>0</v>
      </c>
      <c r="H294" s="82">
        <f t="shared" si="117"/>
        <v>0</v>
      </c>
      <c r="I294" s="82">
        <f t="shared" si="117"/>
        <v>0</v>
      </c>
      <c r="J294" s="82">
        <f t="shared" si="117"/>
        <v>0</v>
      </c>
      <c r="K294" s="82">
        <f t="shared" si="117"/>
        <v>0</v>
      </c>
      <c r="L294" s="82">
        <f t="shared" si="117"/>
        <v>0</v>
      </c>
      <c r="M294" s="104">
        <f aca="true" t="shared" si="118" ref="M294:M306">L294+K294+J294+I294+H294+G294+F294+E294+D294</f>
        <v>0</v>
      </c>
    </row>
    <row r="295" spans="1:13" s="3" customFormat="1" ht="13.5" customHeight="1" hidden="1" thickBot="1">
      <c r="A295" s="428"/>
      <c r="B295" s="429"/>
      <c r="C295" s="63" t="s">
        <v>160</v>
      </c>
      <c r="D295" s="67">
        <f aca="true" t="shared" si="119" ref="D295:L295">D290+D291-D292</f>
        <v>0</v>
      </c>
      <c r="E295" s="67">
        <f t="shared" si="119"/>
        <v>7461</v>
      </c>
      <c r="F295" s="67">
        <f t="shared" si="119"/>
        <v>0</v>
      </c>
      <c r="G295" s="67">
        <f t="shared" si="119"/>
        <v>0</v>
      </c>
      <c r="H295" s="67">
        <f t="shared" si="119"/>
        <v>0</v>
      </c>
      <c r="I295" s="67">
        <f t="shared" si="119"/>
        <v>0</v>
      </c>
      <c r="J295" s="67">
        <f t="shared" si="119"/>
        <v>0</v>
      </c>
      <c r="K295" s="67">
        <f t="shared" si="119"/>
        <v>0</v>
      </c>
      <c r="L295" s="74">
        <f t="shared" si="119"/>
        <v>0</v>
      </c>
      <c r="M295" s="105">
        <f t="shared" si="118"/>
        <v>7461</v>
      </c>
    </row>
    <row r="296" spans="1:13" s="3" customFormat="1" ht="13.5" thickBot="1">
      <c r="A296" s="428" t="s">
        <v>39</v>
      </c>
      <c r="B296" s="429" t="s">
        <v>27</v>
      </c>
      <c r="C296" s="49" t="s">
        <v>175</v>
      </c>
      <c r="D296" s="106"/>
      <c r="E296" s="85"/>
      <c r="F296" s="85"/>
      <c r="G296" s="85"/>
      <c r="H296" s="85"/>
      <c r="I296" s="85"/>
      <c r="J296" s="85"/>
      <c r="K296" s="177">
        <v>12357.44</v>
      </c>
      <c r="L296" s="86"/>
      <c r="M296" s="334">
        <f t="shared" si="118"/>
        <v>12357.44</v>
      </c>
    </row>
    <row r="297" spans="1:13" s="3" customFormat="1" ht="13.5" thickBot="1">
      <c r="A297" s="428"/>
      <c r="B297" s="429"/>
      <c r="C297" s="48" t="s">
        <v>1</v>
      </c>
      <c r="D297" s="90"/>
      <c r="E297" s="86"/>
      <c r="F297" s="86"/>
      <c r="G297" s="86"/>
      <c r="H297" s="86"/>
      <c r="I297" s="86"/>
      <c r="J297" s="86"/>
      <c r="K297" s="177">
        <v>30744</v>
      </c>
      <c r="L297" s="86"/>
      <c r="M297" s="335">
        <f t="shared" si="118"/>
        <v>30744</v>
      </c>
    </row>
    <row r="298" spans="1:13" s="3" customFormat="1" ht="13.5" thickBot="1">
      <c r="A298" s="428"/>
      <c r="B298" s="429"/>
      <c r="C298" s="50" t="s">
        <v>2</v>
      </c>
      <c r="D298" s="87"/>
      <c r="E298" s="87"/>
      <c r="F298" s="87"/>
      <c r="G298" s="87"/>
      <c r="H298" s="87"/>
      <c r="I298" s="87"/>
      <c r="J298" s="87"/>
      <c r="K298" s="177">
        <v>31985.12</v>
      </c>
      <c r="L298" s="86"/>
      <c r="M298" s="335">
        <f t="shared" si="118"/>
        <v>31985.12</v>
      </c>
    </row>
    <row r="299" spans="1:13" s="3" customFormat="1" ht="13.5" thickBot="1">
      <c r="A299" s="428"/>
      <c r="B299" s="429"/>
      <c r="C299" s="48" t="s">
        <v>4</v>
      </c>
      <c r="D299" s="173"/>
      <c r="E299" s="173"/>
      <c r="F299" s="173"/>
      <c r="G299" s="173"/>
      <c r="H299" s="173"/>
      <c r="I299" s="173"/>
      <c r="J299" s="173"/>
      <c r="K299" s="173">
        <f>+K297</f>
        <v>30744</v>
      </c>
      <c r="L299" s="173"/>
      <c r="M299" s="335">
        <f t="shared" si="118"/>
        <v>30744</v>
      </c>
    </row>
    <row r="300" spans="1:13" s="3" customFormat="1" ht="13.5" thickBot="1">
      <c r="A300" s="428"/>
      <c r="B300" s="429"/>
      <c r="C300" s="48" t="s">
        <v>3</v>
      </c>
      <c r="D300" s="173"/>
      <c r="E300" s="173"/>
      <c r="F300" s="173"/>
      <c r="G300" s="173"/>
      <c r="H300" s="173"/>
      <c r="I300" s="173"/>
      <c r="J300" s="173"/>
      <c r="K300" s="173">
        <f>+K298</f>
        <v>31985.12</v>
      </c>
      <c r="L300" s="173"/>
      <c r="M300" s="335">
        <f t="shared" si="118"/>
        <v>31985.12</v>
      </c>
    </row>
    <row r="301" spans="1:13" s="3" customFormat="1" ht="13.5" thickBot="1">
      <c r="A301" s="428"/>
      <c r="B301" s="429"/>
      <c r="C301" s="63" t="s">
        <v>199</v>
      </c>
      <c r="D301" s="75"/>
      <c r="E301" s="75"/>
      <c r="F301" s="75"/>
      <c r="G301" s="75"/>
      <c r="H301" s="75"/>
      <c r="I301" s="75"/>
      <c r="J301" s="75"/>
      <c r="K301" s="75">
        <f>K296+K297-K298</f>
        <v>11116.320000000003</v>
      </c>
      <c r="L301" s="75"/>
      <c r="M301" s="75">
        <f>M296+M297-M298</f>
        <v>11116.320000000003</v>
      </c>
    </row>
    <row r="302" spans="1:13" s="24" customFormat="1" ht="13.5" thickBot="1">
      <c r="A302" s="428" t="s">
        <v>49</v>
      </c>
      <c r="B302" s="429" t="s">
        <v>27</v>
      </c>
      <c r="C302" s="49" t="s">
        <v>175</v>
      </c>
      <c r="D302" s="172">
        <v>267.83</v>
      </c>
      <c r="E302" s="172">
        <v>8908.08</v>
      </c>
      <c r="F302" s="172">
        <v>7054.38</v>
      </c>
      <c r="G302" s="172">
        <v>564.78</v>
      </c>
      <c r="H302" s="172">
        <v>2958.3</v>
      </c>
      <c r="I302" s="172">
        <v>466.99</v>
      </c>
      <c r="J302" s="172">
        <v>-1379.35</v>
      </c>
      <c r="K302" s="172">
        <v>2065.52</v>
      </c>
      <c r="L302" s="172">
        <v>2399.38</v>
      </c>
      <c r="M302" s="335">
        <f t="shared" si="118"/>
        <v>23305.910000000003</v>
      </c>
    </row>
    <row r="303" spans="1:13" s="24" customFormat="1" ht="13.5" thickBot="1">
      <c r="A303" s="428"/>
      <c r="B303" s="429"/>
      <c r="C303" s="48" t="s">
        <v>1</v>
      </c>
      <c r="D303" s="173">
        <v>3960</v>
      </c>
      <c r="E303" s="173">
        <v>17280</v>
      </c>
      <c r="F303" s="173">
        <v>12960</v>
      </c>
      <c r="G303" s="173">
        <v>18360</v>
      </c>
      <c r="H303" s="173">
        <v>20880</v>
      </c>
      <c r="I303" s="173">
        <v>8640</v>
      </c>
      <c r="J303" s="173">
        <v>7920</v>
      </c>
      <c r="K303" s="173">
        <v>9360</v>
      </c>
      <c r="L303" s="173">
        <v>16560</v>
      </c>
      <c r="M303" s="335">
        <f t="shared" si="118"/>
        <v>115920</v>
      </c>
    </row>
    <row r="304" spans="1:13" s="24" customFormat="1" ht="13.5" thickBot="1">
      <c r="A304" s="428"/>
      <c r="B304" s="429"/>
      <c r="C304" s="50" t="s">
        <v>2</v>
      </c>
      <c r="D304" s="173">
        <v>3780.17</v>
      </c>
      <c r="E304" s="173">
        <v>16145.9</v>
      </c>
      <c r="F304" s="173">
        <v>12233.43</v>
      </c>
      <c r="G304" s="173">
        <v>18074.1</v>
      </c>
      <c r="H304" s="173">
        <v>22036.56</v>
      </c>
      <c r="I304" s="173">
        <v>8595.58</v>
      </c>
      <c r="J304" s="173">
        <v>6817.67</v>
      </c>
      <c r="K304" s="173">
        <v>8915.52</v>
      </c>
      <c r="L304" s="173">
        <v>17139.11</v>
      </c>
      <c r="M304" s="335">
        <f t="shared" si="118"/>
        <v>113738.04</v>
      </c>
    </row>
    <row r="305" spans="1:13" s="24" customFormat="1" ht="13.5" thickBot="1">
      <c r="A305" s="428"/>
      <c r="B305" s="429"/>
      <c r="C305" s="48" t="s">
        <v>4</v>
      </c>
      <c r="D305" s="173">
        <f>+D303</f>
        <v>3960</v>
      </c>
      <c r="E305" s="173">
        <f aca="true" t="shared" si="120" ref="E305:L305">+E303</f>
        <v>17280</v>
      </c>
      <c r="F305" s="173">
        <f t="shared" si="120"/>
        <v>12960</v>
      </c>
      <c r="G305" s="173">
        <f t="shared" si="120"/>
        <v>18360</v>
      </c>
      <c r="H305" s="173">
        <f t="shared" si="120"/>
        <v>20880</v>
      </c>
      <c r="I305" s="173">
        <f t="shared" si="120"/>
        <v>8640</v>
      </c>
      <c r="J305" s="173">
        <f t="shared" si="120"/>
        <v>7920</v>
      </c>
      <c r="K305" s="173">
        <f t="shared" si="120"/>
        <v>9360</v>
      </c>
      <c r="L305" s="173">
        <f t="shared" si="120"/>
        <v>16560</v>
      </c>
      <c r="M305" s="335">
        <f t="shared" si="118"/>
        <v>115920</v>
      </c>
    </row>
    <row r="306" spans="1:13" s="24" customFormat="1" ht="13.5" thickBot="1">
      <c r="A306" s="428"/>
      <c r="B306" s="429"/>
      <c r="C306" s="48" t="s">
        <v>3</v>
      </c>
      <c r="D306" s="173">
        <f>+D304</f>
        <v>3780.17</v>
      </c>
      <c r="E306" s="173">
        <f aca="true" t="shared" si="121" ref="E306:L306">+E304</f>
        <v>16145.9</v>
      </c>
      <c r="F306" s="173">
        <f t="shared" si="121"/>
        <v>12233.43</v>
      </c>
      <c r="G306" s="173">
        <f t="shared" si="121"/>
        <v>18074.1</v>
      </c>
      <c r="H306" s="173">
        <f t="shared" si="121"/>
        <v>22036.56</v>
      </c>
      <c r="I306" s="173">
        <f t="shared" si="121"/>
        <v>8595.58</v>
      </c>
      <c r="J306" s="173">
        <f t="shared" si="121"/>
        <v>6817.67</v>
      </c>
      <c r="K306" s="173">
        <f t="shared" si="121"/>
        <v>8915.52</v>
      </c>
      <c r="L306" s="173">
        <f t="shared" si="121"/>
        <v>17139.11</v>
      </c>
      <c r="M306" s="335">
        <f t="shared" si="118"/>
        <v>113738.04</v>
      </c>
    </row>
    <row r="307" spans="1:13" s="3" customFormat="1" ht="13.5" thickBot="1">
      <c r="A307" s="428"/>
      <c r="B307" s="429"/>
      <c r="C307" s="63" t="s">
        <v>199</v>
      </c>
      <c r="D307" s="71">
        <f>D302+D303-D304</f>
        <v>447.65999999999985</v>
      </c>
      <c r="E307" s="71">
        <f aca="true" t="shared" si="122" ref="E307:M307">E302+E303-E304</f>
        <v>10042.180000000002</v>
      </c>
      <c r="F307" s="71">
        <f t="shared" si="122"/>
        <v>7780.950000000001</v>
      </c>
      <c r="G307" s="71">
        <f t="shared" si="122"/>
        <v>850.6800000000003</v>
      </c>
      <c r="H307" s="71">
        <f t="shared" si="122"/>
        <v>1801.739999999998</v>
      </c>
      <c r="I307" s="71">
        <f t="shared" si="122"/>
        <v>511.40999999999985</v>
      </c>
      <c r="J307" s="71">
        <f t="shared" si="122"/>
        <v>-277.02000000000044</v>
      </c>
      <c r="K307" s="71">
        <f t="shared" si="122"/>
        <v>2510</v>
      </c>
      <c r="L307" s="71">
        <f t="shared" si="122"/>
        <v>1820.2700000000004</v>
      </c>
      <c r="M307" s="71">
        <f t="shared" si="122"/>
        <v>25487.87000000001</v>
      </c>
    </row>
    <row r="308" spans="1:13" s="24" customFormat="1" ht="12.75">
      <c r="A308" s="393" t="s">
        <v>190</v>
      </c>
      <c r="B308" s="393"/>
      <c r="C308" s="376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</row>
    <row r="309" spans="1:13" s="24" customFormat="1" ht="13.5" thickBot="1">
      <c r="A309" s="426"/>
      <c r="B309" s="426"/>
      <c r="C309" s="347" t="s">
        <v>175</v>
      </c>
      <c r="D309" s="122">
        <f aca="true" t="shared" si="123" ref="D309:M309">D230+D296+D302</f>
        <v>1267.31</v>
      </c>
      <c r="E309" s="122">
        <f t="shared" si="123"/>
        <v>9142.94</v>
      </c>
      <c r="F309" s="122">
        <f t="shared" si="123"/>
        <v>11391.45</v>
      </c>
      <c r="G309" s="122">
        <f t="shared" si="123"/>
        <v>426.51</v>
      </c>
      <c r="H309" s="122">
        <f t="shared" si="123"/>
        <v>3809.71</v>
      </c>
      <c r="I309" s="122">
        <f t="shared" si="123"/>
        <v>1872.05</v>
      </c>
      <c r="J309" s="122">
        <f t="shared" si="123"/>
        <v>1056.21</v>
      </c>
      <c r="K309" s="122">
        <f t="shared" si="123"/>
        <v>16501.36</v>
      </c>
      <c r="L309" s="122">
        <f t="shared" si="123"/>
        <v>3692.56</v>
      </c>
      <c r="M309" s="122">
        <f t="shared" si="123"/>
        <v>49160.100000000006</v>
      </c>
    </row>
    <row r="310" spans="1:13" s="24" customFormat="1" ht="13.5" thickBot="1">
      <c r="A310" s="427"/>
      <c r="B310" s="427"/>
      <c r="C310" s="342" t="s">
        <v>1</v>
      </c>
      <c r="D310" s="122">
        <f aca="true" t="shared" si="124" ref="D310:M310">D231+D297+D303</f>
        <v>8889.46</v>
      </c>
      <c r="E310" s="122">
        <f t="shared" si="124"/>
        <v>22920.48</v>
      </c>
      <c r="F310" s="122">
        <f t="shared" si="124"/>
        <v>22932.010000000002</v>
      </c>
      <c r="G310" s="122">
        <f t="shared" si="124"/>
        <v>23260.739999999998</v>
      </c>
      <c r="H310" s="122">
        <f t="shared" si="124"/>
        <v>28170.739999999998</v>
      </c>
      <c r="I310" s="122">
        <f t="shared" si="124"/>
        <v>15729.119999999999</v>
      </c>
      <c r="J310" s="122">
        <f t="shared" si="124"/>
        <v>16071.1</v>
      </c>
      <c r="K310" s="122">
        <f t="shared" si="124"/>
        <v>56500.97</v>
      </c>
      <c r="L310" s="122">
        <f t="shared" si="124"/>
        <v>24891.83</v>
      </c>
      <c r="M310" s="122">
        <f t="shared" si="124"/>
        <v>219366.45</v>
      </c>
    </row>
    <row r="311" spans="1:15" s="24" customFormat="1" ht="13.5" thickBot="1">
      <c r="A311" s="427"/>
      <c r="B311" s="427"/>
      <c r="C311" s="342" t="s">
        <v>2</v>
      </c>
      <c r="D311" s="122">
        <f aca="true" t="shared" si="125" ref="D311:M311">D232+D298+D304</f>
        <v>7367.47</v>
      </c>
      <c r="E311" s="122">
        <f t="shared" si="125"/>
        <v>19406.61</v>
      </c>
      <c r="F311" s="122">
        <f t="shared" si="125"/>
        <v>18085.81</v>
      </c>
      <c r="G311" s="122">
        <f t="shared" si="125"/>
        <v>22854.62</v>
      </c>
      <c r="H311" s="122">
        <f t="shared" si="125"/>
        <v>29972.910000000003</v>
      </c>
      <c r="I311" s="122">
        <f t="shared" si="125"/>
        <v>14894.99</v>
      </c>
      <c r="J311" s="122">
        <f t="shared" si="125"/>
        <v>14541.04</v>
      </c>
      <c r="K311" s="122">
        <f t="shared" si="125"/>
        <v>56448.53999999999</v>
      </c>
      <c r="L311" s="122">
        <f t="shared" si="125"/>
        <v>25090.88</v>
      </c>
      <c r="M311" s="122">
        <f t="shared" si="125"/>
        <v>208662.87</v>
      </c>
      <c r="O311" s="28"/>
    </row>
    <row r="312" spans="1:13" s="24" customFormat="1" ht="13.5" thickBot="1">
      <c r="A312" s="427"/>
      <c r="B312" s="427"/>
      <c r="C312" s="342" t="s">
        <v>4</v>
      </c>
      <c r="D312" s="122">
        <f aca="true" t="shared" si="126" ref="D312:M312">D233+D299+D305</f>
        <v>8889.46</v>
      </c>
      <c r="E312" s="122">
        <f t="shared" si="126"/>
        <v>22920.48</v>
      </c>
      <c r="F312" s="122">
        <f t="shared" si="126"/>
        <v>22932.010000000002</v>
      </c>
      <c r="G312" s="122">
        <f t="shared" si="126"/>
        <v>23260.739999999998</v>
      </c>
      <c r="H312" s="122">
        <f t="shared" si="126"/>
        <v>28170.739999999998</v>
      </c>
      <c r="I312" s="122">
        <f t="shared" si="126"/>
        <v>15729.119999999999</v>
      </c>
      <c r="J312" s="122">
        <f t="shared" si="126"/>
        <v>16071.1</v>
      </c>
      <c r="K312" s="122">
        <f t="shared" si="126"/>
        <v>56500.97</v>
      </c>
      <c r="L312" s="122">
        <f t="shared" si="126"/>
        <v>24891.83</v>
      </c>
      <c r="M312" s="122">
        <f t="shared" si="126"/>
        <v>219366.45</v>
      </c>
    </row>
    <row r="313" spans="1:13" s="24" customFormat="1" ht="13.5" thickBot="1">
      <c r="A313" s="427"/>
      <c r="B313" s="427"/>
      <c r="C313" s="342" t="s">
        <v>3</v>
      </c>
      <c r="D313" s="122">
        <f aca="true" t="shared" si="127" ref="D313:M313">D234+D300+D306</f>
        <v>7367.47</v>
      </c>
      <c r="E313" s="122">
        <f t="shared" si="127"/>
        <v>19406.61</v>
      </c>
      <c r="F313" s="122">
        <f t="shared" si="127"/>
        <v>18085.81</v>
      </c>
      <c r="G313" s="122">
        <f t="shared" si="127"/>
        <v>22854.62</v>
      </c>
      <c r="H313" s="122">
        <f t="shared" si="127"/>
        <v>29972.910000000003</v>
      </c>
      <c r="I313" s="122">
        <f t="shared" si="127"/>
        <v>14894.99</v>
      </c>
      <c r="J313" s="122">
        <f t="shared" si="127"/>
        <v>14541.04</v>
      </c>
      <c r="K313" s="122">
        <f t="shared" si="127"/>
        <v>56448.53999999999</v>
      </c>
      <c r="L313" s="122">
        <f t="shared" si="127"/>
        <v>25090.88</v>
      </c>
      <c r="M313" s="122">
        <f t="shared" si="127"/>
        <v>208662.87</v>
      </c>
    </row>
    <row r="314" spans="1:13" s="3" customFormat="1" ht="13.5" thickBot="1">
      <c r="A314" s="427"/>
      <c r="B314" s="427"/>
      <c r="C314" s="344" t="s">
        <v>199</v>
      </c>
      <c r="D314" s="345">
        <f aca="true" t="shared" si="128" ref="D314:L314">D235+D301+D307</f>
        <v>2789.3</v>
      </c>
      <c r="E314" s="345">
        <f t="shared" si="128"/>
        <v>12656.810000000001</v>
      </c>
      <c r="F314" s="345">
        <f t="shared" si="128"/>
        <v>16237.650000000001</v>
      </c>
      <c r="G314" s="345">
        <f t="shared" si="128"/>
        <v>832.6299999999992</v>
      </c>
      <c r="H314" s="345">
        <f t="shared" si="128"/>
        <v>2007.5399999999972</v>
      </c>
      <c r="I314" s="345">
        <f t="shared" si="128"/>
        <v>2706.1800000000003</v>
      </c>
      <c r="J314" s="345">
        <f t="shared" si="128"/>
        <v>2586.2699999999995</v>
      </c>
      <c r="K314" s="345">
        <f t="shared" si="128"/>
        <v>16553.790000000008</v>
      </c>
      <c r="L314" s="345">
        <f t="shared" si="128"/>
        <v>3493.51</v>
      </c>
      <c r="M314" s="345">
        <f>M235+M301+M307+M186</f>
        <v>59863.68000000001</v>
      </c>
    </row>
    <row r="315" spans="1:13" s="24" customFormat="1" ht="13.5" thickBot="1">
      <c r="A315" s="393" t="s">
        <v>192</v>
      </c>
      <c r="B315" s="393"/>
      <c r="C315" s="376"/>
      <c r="D315" s="83"/>
      <c r="E315" s="83"/>
      <c r="F315" s="83"/>
      <c r="G315" s="83"/>
      <c r="H315" s="83"/>
      <c r="I315" s="83"/>
      <c r="J315" s="83"/>
      <c r="K315" s="83"/>
      <c r="L315" s="83"/>
      <c r="M315" s="84"/>
    </row>
    <row r="316" spans="1:13" s="24" customFormat="1" ht="13.5" thickBot="1">
      <c r="A316" s="427"/>
      <c r="B316" s="427"/>
      <c r="C316" s="341" t="s">
        <v>175</v>
      </c>
      <c r="D316" s="121">
        <f aca="true" t="shared" si="129" ref="D316:M316">D109+D224+D309</f>
        <v>138883.94</v>
      </c>
      <c r="E316" s="121">
        <f t="shared" si="129"/>
        <v>500633.44</v>
      </c>
      <c r="F316" s="121">
        <f t="shared" si="129"/>
        <v>916896.7599999998</v>
      </c>
      <c r="G316" s="121">
        <f t="shared" si="129"/>
        <v>117542.62999999999</v>
      </c>
      <c r="H316" s="121">
        <f t="shared" si="129"/>
        <v>309147.86000000004</v>
      </c>
      <c r="I316" s="121">
        <f>I109+I224+I309</f>
        <v>282687.55999999994</v>
      </c>
      <c r="J316" s="121">
        <f t="shared" si="129"/>
        <v>457246.57200000004</v>
      </c>
      <c r="K316" s="121">
        <f t="shared" si="129"/>
        <v>972341.4600000001</v>
      </c>
      <c r="L316" s="121">
        <f t="shared" si="129"/>
        <v>180830.14</v>
      </c>
      <c r="M316" s="121">
        <f t="shared" si="129"/>
        <v>3876210.362</v>
      </c>
    </row>
    <row r="317" spans="1:13" s="24" customFormat="1" ht="13.5" thickBot="1">
      <c r="A317" s="427"/>
      <c r="B317" s="427"/>
      <c r="C317" s="342" t="s">
        <v>1</v>
      </c>
      <c r="D317" s="122">
        <f aca="true" t="shared" si="130" ref="D317:M317">D110+D225+D310</f>
        <v>1150081.73</v>
      </c>
      <c r="E317" s="122">
        <f t="shared" si="130"/>
        <v>2533987.88</v>
      </c>
      <c r="F317" s="122">
        <f t="shared" si="130"/>
        <v>1710874.84</v>
      </c>
      <c r="G317" s="122">
        <f t="shared" si="130"/>
        <v>1439876.2700000003</v>
      </c>
      <c r="H317" s="122">
        <f t="shared" si="130"/>
        <v>2452714.6799999997</v>
      </c>
      <c r="I317" s="122">
        <f t="shared" si="130"/>
        <v>2038935.7700000005</v>
      </c>
      <c r="J317" s="122">
        <f t="shared" si="130"/>
        <v>1885113.68</v>
      </c>
      <c r="K317" s="122">
        <f t="shared" si="130"/>
        <v>3045093.0400000005</v>
      </c>
      <c r="L317" s="122">
        <f t="shared" si="130"/>
        <v>1745494.3000000003</v>
      </c>
      <c r="M317" s="122">
        <f t="shared" si="130"/>
        <v>18002172.189999998</v>
      </c>
    </row>
    <row r="318" spans="1:13" s="24" customFormat="1" ht="13.5" thickBot="1">
      <c r="A318" s="427"/>
      <c r="B318" s="427"/>
      <c r="C318" s="342" t="s">
        <v>2</v>
      </c>
      <c r="D318" s="122">
        <f aca="true" t="shared" si="131" ref="D318:M318">D111+D226+D311</f>
        <v>1036868.9899999999</v>
      </c>
      <c r="E318" s="122">
        <f t="shared" si="131"/>
        <v>2093918.18</v>
      </c>
      <c r="F318" s="122">
        <f t="shared" si="131"/>
        <v>1559943.3900000001</v>
      </c>
      <c r="G318" s="122">
        <f t="shared" si="131"/>
        <v>1403407.49</v>
      </c>
      <c r="H318" s="122">
        <f t="shared" si="131"/>
        <v>2537451.1000000006</v>
      </c>
      <c r="I318" s="122">
        <f t="shared" si="131"/>
        <v>1723833.89</v>
      </c>
      <c r="J318" s="122">
        <f t="shared" si="131"/>
        <v>1842196.9800000002</v>
      </c>
      <c r="K318" s="122">
        <f t="shared" si="131"/>
        <v>3029752.0700000003</v>
      </c>
      <c r="L318" s="122">
        <f t="shared" si="131"/>
        <v>1953554.8299999996</v>
      </c>
      <c r="M318" s="122">
        <f t="shared" si="131"/>
        <v>17180926.92</v>
      </c>
    </row>
    <row r="319" spans="1:13" s="24" customFormat="1" ht="13.5" thickBot="1">
      <c r="A319" s="427"/>
      <c r="B319" s="427"/>
      <c r="C319" s="342" t="s">
        <v>4</v>
      </c>
      <c r="D319" s="122">
        <f aca="true" t="shared" si="132" ref="D319:M319">D112+D227+D312</f>
        <v>1143428.31</v>
      </c>
      <c r="E319" s="122">
        <f t="shared" si="132"/>
        <v>2372058.4899999998</v>
      </c>
      <c r="F319" s="122">
        <f t="shared" si="132"/>
        <v>1642958.82</v>
      </c>
      <c r="G319" s="122">
        <f t="shared" si="132"/>
        <v>1433670.02</v>
      </c>
      <c r="H319" s="122">
        <f t="shared" si="132"/>
        <v>2400044.39</v>
      </c>
      <c r="I319" s="122">
        <f t="shared" si="132"/>
        <v>1936263.1800000004</v>
      </c>
      <c r="J319" s="122">
        <f t="shared" si="132"/>
        <v>1985629.85</v>
      </c>
      <c r="K319" s="122">
        <f t="shared" si="132"/>
        <v>2971802.6600000006</v>
      </c>
      <c r="L319" s="122">
        <f t="shared" si="132"/>
        <v>1743926.7200000002</v>
      </c>
      <c r="M319" s="122">
        <f t="shared" si="132"/>
        <v>17629782.439999998</v>
      </c>
    </row>
    <row r="320" spans="1:13" s="24" customFormat="1" ht="13.5" thickBot="1">
      <c r="A320" s="427"/>
      <c r="B320" s="427"/>
      <c r="C320" s="342" t="s">
        <v>3</v>
      </c>
      <c r="D320" s="122">
        <f aca="true" t="shared" si="133" ref="D320:M320">D113+D228+D313</f>
        <v>1036868.99</v>
      </c>
      <c r="E320" s="122">
        <f t="shared" si="133"/>
        <v>2093918.18</v>
      </c>
      <c r="F320" s="122">
        <f t="shared" si="133"/>
        <v>1559943.3900000001</v>
      </c>
      <c r="G320" s="122">
        <f t="shared" si="133"/>
        <v>1403407.49</v>
      </c>
      <c r="H320" s="122">
        <f t="shared" si="133"/>
        <v>2537451.1000000006</v>
      </c>
      <c r="I320" s="122">
        <f t="shared" si="133"/>
        <v>1723833.89</v>
      </c>
      <c r="J320" s="122">
        <f t="shared" si="133"/>
        <v>1842196.9800000002</v>
      </c>
      <c r="K320" s="122">
        <f t="shared" si="133"/>
        <v>3029752.0700000003</v>
      </c>
      <c r="L320" s="122">
        <f t="shared" si="133"/>
        <v>1953554.8299999996</v>
      </c>
      <c r="M320" s="122">
        <f t="shared" si="133"/>
        <v>17180926.919999998</v>
      </c>
    </row>
    <row r="321" spans="1:13" s="3" customFormat="1" ht="13.5" thickBot="1">
      <c r="A321" s="427"/>
      <c r="B321" s="427"/>
      <c r="C321" s="344" t="s">
        <v>199</v>
      </c>
      <c r="D321" s="345">
        <f aca="true" t="shared" si="134" ref="D321:M321">D114+D229+D314</f>
        <v>252096.6799999999</v>
      </c>
      <c r="E321" s="345">
        <f t="shared" si="134"/>
        <v>940703.1400000001</v>
      </c>
      <c r="F321" s="345">
        <f t="shared" si="134"/>
        <v>1067828.2099999995</v>
      </c>
      <c r="G321" s="345">
        <f t="shared" si="134"/>
        <v>154011.41000000006</v>
      </c>
      <c r="H321" s="345">
        <f t="shared" si="134"/>
        <v>224411.43999999997</v>
      </c>
      <c r="I321" s="345">
        <f>I114+I229+I314</f>
        <v>597789.4400000001</v>
      </c>
      <c r="J321" s="345">
        <f t="shared" si="134"/>
        <v>500163.272</v>
      </c>
      <c r="K321" s="345">
        <f t="shared" si="134"/>
        <v>987682.4299999999</v>
      </c>
      <c r="L321" s="345">
        <f t="shared" si="134"/>
        <v>-27230.38999999989</v>
      </c>
      <c r="M321" s="345">
        <f t="shared" si="134"/>
        <v>4697455.631999996</v>
      </c>
    </row>
    <row r="322" ht="12.75">
      <c r="M322" s="211"/>
    </row>
  </sheetData>
  <sheetProtection/>
  <mergeCells count="85">
    <mergeCell ref="A1:M1"/>
    <mergeCell ref="A284:A289"/>
    <mergeCell ref="A278:A283"/>
    <mergeCell ref="B278:B283"/>
    <mergeCell ref="B248:B253"/>
    <mergeCell ref="A230:A235"/>
    <mergeCell ref="B230:B235"/>
    <mergeCell ref="A236:A241"/>
    <mergeCell ref="B272:B277"/>
    <mergeCell ref="A248:A253"/>
    <mergeCell ref="B211:B216"/>
    <mergeCell ref="A242:A247"/>
    <mergeCell ref="B242:B247"/>
    <mergeCell ref="A223:C223"/>
    <mergeCell ref="A187:A216"/>
    <mergeCell ref="B199:B204"/>
    <mergeCell ref="B193:B198"/>
    <mergeCell ref="A224:B229"/>
    <mergeCell ref="A72:A83"/>
    <mergeCell ref="B72:B77"/>
    <mergeCell ref="B60:B65"/>
    <mergeCell ref="B66:B71"/>
    <mergeCell ref="B78:B83"/>
    <mergeCell ref="B181:B186"/>
    <mergeCell ref="A151:A156"/>
    <mergeCell ref="B163:B168"/>
    <mergeCell ref="B145:B150"/>
    <mergeCell ref="B157:B162"/>
    <mergeCell ref="B151:B156"/>
    <mergeCell ref="A6:A35"/>
    <mergeCell ref="B6:B11"/>
    <mergeCell ref="B12:B17"/>
    <mergeCell ref="B302:B307"/>
    <mergeCell ref="A254:A259"/>
    <mergeCell ref="B284:B289"/>
    <mergeCell ref="B236:B241"/>
    <mergeCell ref="B254:B259"/>
    <mergeCell ref="B290:B295"/>
    <mergeCell ref="B296:B301"/>
    <mergeCell ref="B139:B144"/>
    <mergeCell ref="A115:A150"/>
    <mergeCell ref="B121:B126"/>
    <mergeCell ref="M3:M4"/>
    <mergeCell ref="C3:C4"/>
    <mergeCell ref="A3:B5"/>
    <mergeCell ref="B30:B35"/>
    <mergeCell ref="D3:L3"/>
    <mergeCell ref="B18:B23"/>
    <mergeCell ref="B24:B29"/>
    <mergeCell ref="B48:B53"/>
    <mergeCell ref="A60:A71"/>
    <mergeCell ref="A36:A59"/>
    <mergeCell ref="B54:B59"/>
    <mergeCell ref="B36:B41"/>
    <mergeCell ref="B42:B47"/>
    <mergeCell ref="A315:C315"/>
    <mergeCell ref="A217:A222"/>
    <mergeCell ref="B187:B192"/>
    <mergeCell ref="A316:B321"/>
    <mergeCell ref="A296:A301"/>
    <mergeCell ref="A290:A295"/>
    <mergeCell ref="A260:A265"/>
    <mergeCell ref="B260:B265"/>
    <mergeCell ref="A302:A307"/>
    <mergeCell ref="A309:B314"/>
    <mergeCell ref="A308:C308"/>
    <mergeCell ref="B217:B222"/>
    <mergeCell ref="A181:A186"/>
    <mergeCell ref="A157:A162"/>
    <mergeCell ref="A163:A180"/>
    <mergeCell ref="B169:B174"/>
    <mergeCell ref="B175:B180"/>
    <mergeCell ref="B205:B210"/>
    <mergeCell ref="A266:A277"/>
    <mergeCell ref="B266:B271"/>
    <mergeCell ref="A108:C108"/>
    <mergeCell ref="B133:B138"/>
    <mergeCell ref="A84:A107"/>
    <mergeCell ref="B127:B132"/>
    <mergeCell ref="B115:B120"/>
    <mergeCell ref="B102:B107"/>
    <mergeCell ref="B84:B89"/>
    <mergeCell ref="B90:B95"/>
    <mergeCell ref="B96:B101"/>
    <mergeCell ref="A109:B114"/>
  </mergeCells>
  <printOptions horizontalCentered="1"/>
  <pageMargins left="0.2755905511811024" right="0.1968503937007874" top="0.15748031496062992" bottom="0.1968503937007874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5" sqref="L15"/>
    </sheetView>
  </sheetViews>
  <sheetFormatPr defaultColWidth="9.00390625" defaultRowHeight="12.75"/>
  <cols>
    <col min="1" max="1" width="6.625" style="7" customWidth="1"/>
    <col min="2" max="2" width="8.875" style="7" customWidth="1"/>
    <col min="3" max="3" width="22.875" style="27" customWidth="1"/>
    <col min="4" max="4" width="13.375" style="27" customWidth="1"/>
    <col min="5" max="5" width="12.25390625" style="27" customWidth="1"/>
    <col min="6" max="6" width="13.25390625" style="27" customWidth="1"/>
    <col min="7" max="7" width="11.75390625" style="27" customWidth="1"/>
    <col min="8" max="9" width="10.375" style="27" customWidth="1"/>
    <col min="10" max="10" width="11.25390625" style="4" customWidth="1"/>
    <col min="11" max="16384" width="9.125" style="27" customWidth="1"/>
  </cols>
  <sheetData>
    <row r="1" spans="1:10" s="10" customFormat="1" ht="15.75">
      <c r="A1" s="425" t="s">
        <v>198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s="10" customFormat="1" ht="16.5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</row>
    <row r="3" spans="1:10" s="24" customFormat="1" ht="12.75" customHeight="1" thickBot="1">
      <c r="A3" s="443" t="s">
        <v>191</v>
      </c>
      <c r="B3" s="443"/>
      <c r="C3" s="413" t="s">
        <v>186</v>
      </c>
      <c r="D3" s="461" t="s">
        <v>0</v>
      </c>
      <c r="E3" s="461"/>
      <c r="F3" s="461"/>
      <c r="G3" s="461"/>
      <c r="H3" s="461"/>
      <c r="I3" s="461"/>
      <c r="J3" s="459" t="s">
        <v>48</v>
      </c>
    </row>
    <row r="4" spans="1:10" s="25" customFormat="1" ht="30.75" customHeight="1" thickBot="1">
      <c r="A4" s="443"/>
      <c r="B4" s="443"/>
      <c r="C4" s="414"/>
      <c r="D4" s="328" t="s">
        <v>56</v>
      </c>
      <c r="E4" s="328" t="s">
        <v>57</v>
      </c>
      <c r="F4" s="328" t="s">
        <v>59</v>
      </c>
      <c r="G4" s="328" t="s">
        <v>58</v>
      </c>
      <c r="H4" s="328" t="s">
        <v>60</v>
      </c>
      <c r="I4" s="328" t="s">
        <v>61</v>
      </c>
      <c r="J4" s="459"/>
    </row>
    <row r="5" spans="1:10" s="24" customFormat="1" ht="13.5" customHeight="1" thickBot="1">
      <c r="A5" s="443"/>
      <c r="B5" s="443"/>
      <c r="C5" s="6" t="s">
        <v>9</v>
      </c>
      <c r="D5" s="248">
        <v>1</v>
      </c>
      <c r="E5" s="248">
        <v>2</v>
      </c>
      <c r="F5" s="248">
        <v>3</v>
      </c>
      <c r="G5" s="248">
        <v>4</v>
      </c>
      <c r="H5" s="248">
        <v>5</v>
      </c>
      <c r="I5" s="248">
        <v>6</v>
      </c>
      <c r="J5" s="8">
        <v>7</v>
      </c>
    </row>
    <row r="6" spans="1:10" s="24" customFormat="1" ht="13.5" thickBot="1">
      <c r="A6" s="434" t="s">
        <v>5</v>
      </c>
      <c r="B6" s="429" t="s">
        <v>6</v>
      </c>
      <c r="C6" s="49" t="s">
        <v>167</v>
      </c>
      <c r="D6" s="553">
        <v>63554.55</v>
      </c>
      <c r="E6" s="562">
        <v>219812.25</v>
      </c>
      <c r="F6" s="553">
        <v>16811.43</v>
      </c>
      <c r="G6" s="553">
        <v>39018.71</v>
      </c>
      <c r="H6" s="562">
        <v>53133.63</v>
      </c>
      <c r="I6" s="553">
        <v>40790.13</v>
      </c>
      <c r="J6" s="311">
        <f aca="true" t="shared" si="0" ref="J6:J37">I6+H6+G6+F6+E6+D6</f>
        <v>433120.7</v>
      </c>
    </row>
    <row r="7" spans="1:10" s="24" customFormat="1" ht="13.5" thickBot="1">
      <c r="A7" s="433"/>
      <c r="B7" s="429"/>
      <c r="C7" s="48" t="s">
        <v>1</v>
      </c>
      <c r="D7" s="554">
        <v>226401.51</v>
      </c>
      <c r="E7" s="348">
        <v>324744.63</v>
      </c>
      <c r="F7" s="554">
        <v>113911.68</v>
      </c>
      <c r="G7" s="554">
        <v>252813.61</v>
      </c>
      <c r="H7" s="348">
        <v>208025.36</v>
      </c>
      <c r="I7" s="554">
        <v>266000.71</v>
      </c>
      <c r="J7" s="312">
        <f t="shared" si="0"/>
        <v>1391897.4999999998</v>
      </c>
    </row>
    <row r="8" spans="1:10" s="24" customFormat="1" ht="13.5" thickBot="1">
      <c r="A8" s="433"/>
      <c r="B8" s="429"/>
      <c r="C8" s="50" t="s">
        <v>2</v>
      </c>
      <c r="D8" s="554">
        <v>195062.67</v>
      </c>
      <c r="E8" s="348">
        <v>197952.43</v>
      </c>
      <c r="F8" s="554">
        <v>93276.04</v>
      </c>
      <c r="G8" s="554">
        <v>239963.5</v>
      </c>
      <c r="H8" s="348">
        <v>172295.24</v>
      </c>
      <c r="I8" s="554">
        <v>234588.54</v>
      </c>
      <c r="J8" s="312">
        <f t="shared" si="0"/>
        <v>1133138.42</v>
      </c>
    </row>
    <row r="9" spans="1:10" s="24" customFormat="1" ht="13.5" thickBot="1">
      <c r="A9" s="433"/>
      <c r="B9" s="429"/>
      <c r="C9" s="48" t="s">
        <v>4</v>
      </c>
      <c r="D9" s="554">
        <f aca="true" t="shared" si="1" ref="D9:I10">+D7</f>
        <v>226401.51</v>
      </c>
      <c r="E9" s="348">
        <f t="shared" si="1"/>
        <v>324744.63</v>
      </c>
      <c r="F9" s="554">
        <f t="shared" si="1"/>
        <v>113911.68</v>
      </c>
      <c r="G9" s="554">
        <f t="shared" si="1"/>
        <v>252813.61</v>
      </c>
      <c r="H9" s="348">
        <f t="shared" si="1"/>
        <v>208025.36</v>
      </c>
      <c r="I9" s="554">
        <f t="shared" si="1"/>
        <v>266000.71</v>
      </c>
      <c r="J9" s="312">
        <f t="shared" si="0"/>
        <v>1391897.4999999998</v>
      </c>
    </row>
    <row r="10" spans="1:10" s="24" customFormat="1" ht="13.5" thickBot="1">
      <c r="A10" s="433"/>
      <c r="B10" s="429"/>
      <c r="C10" s="48" t="s">
        <v>3</v>
      </c>
      <c r="D10" s="554">
        <f t="shared" si="1"/>
        <v>195062.67</v>
      </c>
      <c r="E10" s="348">
        <f t="shared" si="1"/>
        <v>197952.43</v>
      </c>
      <c r="F10" s="554">
        <f t="shared" si="1"/>
        <v>93276.04</v>
      </c>
      <c r="G10" s="554">
        <f t="shared" si="1"/>
        <v>239963.5</v>
      </c>
      <c r="H10" s="348">
        <f t="shared" si="1"/>
        <v>172295.24</v>
      </c>
      <c r="I10" s="554">
        <v>278591.1</v>
      </c>
      <c r="J10" s="312">
        <f t="shared" si="0"/>
        <v>1177140.98</v>
      </c>
    </row>
    <row r="11" spans="1:10" s="3" customFormat="1" ht="13.5" thickBot="1">
      <c r="A11" s="433"/>
      <c r="B11" s="429"/>
      <c r="C11" s="63" t="s">
        <v>175</v>
      </c>
      <c r="D11" s="349">
        <f aca="true" t="shared" si="2" ref="D11:J11">D6+D7-D8</f>
        <v>94893.38999999998</v>
      </c>
      <c r="E11" s="558">
        <f t="shared" si="2"/>
        <v>346604.45</v>
      </c>
      <c r="F11" s="349">
        <f t="shared" si="2"/>
        <v>37447.06999999999</v>
      </c>
      <c r="G11" s="349">
        <f t="shared" si="2"/>
        <v>51868.82000000001</v>
      </c>
      <c r="H11" s="558">
        <f t="shared" si="2"/>
        <v>88863.75</v>
      </c>
      <c r="I11" s="349">
        <f t="shared" si="2"/>
        <v>72202.30000000002</v>
      </c>
      <c r="J11" s="349">
        <f t="shared" si="2"/>
        <v>691879.7799999998</v>
      </c>
    </row>
    <row r="12" spans="1:10" s="24" customFormat="1" ht="13.5" thickBot="1">
      <c r="A12" s="433"/>
      <c r="B12" s="429" t="s">
        <v>7</v>
      </c>
      <c r="C12" s="49" t="s">
        <v>167</v>
      </c>
      <c r="D12" s="555">
        <v>51933.99</v>
      </c>
      <c r="E12" s="559">
        <v>200654.57</v>
      </c>
      <c r="F12" s="555">
        <v>11879.75</v>
      </c>
      <c r="G12" s="555">
        <v>24369.57</v>
      </c>
      <c r="H12" s="559">
        <v>38688.94</v>
      </c>
      <c r="I12" s="555">
        <v>35268.24</v>
      </c>
      <c r="J12" s="313">
        <f t="shared" si="0"/>
        <v>362795.06</v>
      </c>
    </row>
    <row r="13" spans="1:10" s="24" customFormat="1" ht="13.5" thickBot="1">
      <c r="A13" s="433"/>
      <c r="B13" s="429"/>
      <c r="C13" s="48" t="s">
        <v>1</v>
      </c>
      <c r="D13" s="554">
        <v>198163.22</v>
      </c>
      <c r="E13" s="348">
        <v>286864.34</v>
      </c>
      <c r="F13" s="554">
        <v>103808.85</v>
      </c>
      <c r="G13" s="554">
        <v>215783.6</v>
      </c>
      <c r="H13" s="348">
        <v>185299.4</v>
      </c>
      <c r="I13" s="554">
        <v>236744.03</v>
      </c>
      <c r="J13" s="312">
        <f t="shared" si="0"/>
        <v>1226663.44</v>
      </c>
    </row>
    <row r="14" spans="1:10" s="24" customFormat="1" ht="13.5" thickBot="1">
      <c r="A14" s="433"/>
      <c r="B14" s="429"/>
      <c r="C14" s="50" t="s">
        <v>2</v>
      </c>
      <c r="D14" s="554">
        <v>167525.18</v>
      </c>
      <c r="E14" s="348">
        <v>168031.26</v>
      </c>
      <c r="F14" s="554">
        <v>83681.29</v>
      </c>
      <c r="G14" s="554">
        <v>197868.54</v>
      </c>
      <c r="H14" s="348">
        <v>148836.77</v>
      </c>
      <c r="I14" s="554">
        <v>206702.71</v>
      </c>
      <c r="J14" s="312">
        <f t="shared" si="0"/>
        <v>972645.75</v>
      </c>
    </row>
    <row r="15" spans="1:10" s="24" customFormat="1" ht="13.5" thickBot="1">
      <c r="A15" s="433"/>
      <c r="B15" s="429"/>
      <c r="C15" s="48" t="s">
        <v>4</v>
      </c>
      <c r="D15" s="554">
        <f aca="true" t="shared" si="3" ref="D15:I16">+D13</f>
        <v>198163.22</v>
      </c>
      <c r="E15" s="348">
        <f t="shared" si="3"/>
        <v>286864.34</v>
      </c>
      <c r="F15" s="554">
        <f t="shared" si="3"/>
        <v>103808.85</v>
      </c>
      <c r="G15" s="554">
        <f t="shared" si="3"/>
        <v>215783.6</v>
      </c>
      <c r="H15" s="348">
        <f t="shared" si="3"/>
        <v>185299.4</v>
      </c>
      <c r="I15" s="554">
        <f t="shared" si="3"/>
        <v>236744.03</v>
      </c>
      <c r="J15" s="312">
        <f t="shared" si="0"/>
        <v>1226663.44</v>
      </c>
    </row>
    <row r="16" spans="1:10" s="24" customFormat="1" ht="13.5" thickBot="1">
      <c r="A16" s="433"/>
      <c r="B16" s="429"/>
      <c r="C16" s="48" t="s">
        <v>3</v>
      </c>
      <c r="D16" s="554">
        <f t="shared" si="3"/>
        <v>167525.18</v>
      </c>
      <c r="E16" s="348">
        <f t="shared" si="3"/>
        <v>168031.26</v>
      </c>
      <c r="F16" s="554">
        <f t="shared" si="3"/>
        <v>83681.29</v>
      </c>
      <c r="G16" s="554">
        <f t="shared" si="3"/>
        <v>197868.54</v>
      </c>
      <c r="H16" s="348">
        <f t="shared" si="3"/>
        <v>148836.77</v>
      </c>
      <c r="I16" s="554">
        <f>I15+I12</f>
        <v>272012.27</v>
      </c>
      <c r="J16" s="312">
        <f t="shared" si="0"/>
        <v>1037955.31</v>
      </c>
    </row>
    <row r="17" spans="1:10" s="3" customFormat="1" ht="13.5" thickBot="1">
      <c r="A17" s="433"/>
      <c r="B17" s="429"/>
      <c r="C17" s="63" t="s">
        <v>175</v>
      </c>
      <c r="D17" s="349">
        <f aca="true" t="shared" si="4" ref="D17:J17">D12+D13-D14</f>
        <v>82572.03</v>
      </c>
      <c r="E17" s="558">
        <f t="shared" si="4"/>
        <v>319487.65</v>
      </c>
      <c r="F17" s="349">
        <f t="shared" si="4"/>
        <v>32007.310000000012</v>
      </c>
      <c r="G17" s="349">
        <f t="shared" si="4"/>
        <v>42284.630000000005</v>
      </c>
      <c r="H17" s="558">
        <f t="shared" si="4"/>
        <v>75151.57</v>
      </c>
      <c r="I17" s="349">
        <f t="shared" si="4"/>
        <v>65309.56000000003</v>
      </c>
      <c r="J17" s="349">
        <f t="shared" si="4"/>
        <v>616812.75</v>
      </c>
    </row>
    <row r="18" spans="1:10" s="3" customFormat="1" ht="13.5" thickBot="1">
      <c r="A18" s="457"/>
      <c r="B18" s="429" t="s">
        <v>122</v>
      </c>
      <c r="C18" s="49" t="s">
        <v>167</v>
      </c>
      <c r="D18" s="555">
        <v>199.85</v>
      </c>
      <c r="E18" s="559">
        <v>366.45</v>
      </c>
      <c r="F18" s="555">
        <v>-30.02</v>
      </c>
      <c r="G18" s="555">
        <v>-137.89</v>
      </c>
      <c r="H18" s="559">
        <v>-59.57</v>
      </c>
      <c r="I18" s="555">
        <v>-48.81</v>
      </c>
      <c r="J18" s="313">
        <f t="shared" si="0"/>
        <v>290.01</v>
      </c>
    </row>
    <row r="19" spans="1:10" s="3" customFormat="1" ht="13.5" thickBot="1">
      <c r="A19" s="457"/>
      <c r="B19" s="429"/>
      <c r="C19" s="48" t="s">
        <v>1</v>
      </c>
      <c r="D19" s="554">
        <v>-163.88</v>
      </c>
      <c r="E19" s="348">
        <v>-309.85</v>
      </c>
      <c r="F19" s="554">
        <v>32.76</v>
      </c>
      <c r="G19" s="554">
        <v>144.3</v>
      </c>
      <c r="H19" s="348">
        <v>61.61</v>
      </c>
      <c r="I19" s="554">
        <v>50.55</v>
      </c>
      <c r="J19" s="312">
        <f t="shared" si="0"/>
        <v>-184.51</v>
      </c>
    </row>
    <row r="20" spans="1:10" s="3" customFormat="1" ht="13.5" thickBot="1">
      <c r="A20" s="457"/>
      <c r="B20" s="429"/>
      <c r="C20" s="50" t="s">
        <v>2</v>
      </c>
      <c r="D20" s="554">
        <v>35.97</v>
      </c>
      <c r="E20" s="348">
        <v>56.6</v>
      </c>
      <c r="F20" s="554">
        <v>2.74</v>
      </c>
      <c r="G20" s="554">
        <v>6.41</v>
      </c>
      <c r="H20" s="348">
        <v>2.24</v>
      </c>
      <c r="I20" s="554">
        <v>1.74</v>
      </c>
      <c r="J20" s="312">
        <f t="shared" si="0"/>
        <v>105.7</v>
      </c>
    </row>
    <row r="21" spans="1:10" s="3" customFormat="1" ht="13.5" thickBot="1">
      <c r="A21" s="457"/>
      <c r="B21" s="429"/>
      <c r="C21" s="48" t="s">
        <v>4</v>
      </c>
      <c r="D21" s="554">
        <f aca="true" t="shared" si="5" ref="D21:I22">+D19</f>
        <v>-163.88</v>
      </c>
      <c r="E21" s="348">
        <f t="shared" si="5"/>
        <v>-309.85</v>
      </c>
      <c r="F21" s="554">
        <f t="shared" si="5"/>
        <v>32.76</v>
      </c>
      <c r="G21" s="554">
        <f t="shared" si="5"/>
        <v>144.3</v>
      </c>
      <c r="H21" s="348">
        <f t="shared" si="5"/>
        <v>61.61</v>
      </c>
      <c r="I21" s="554">
        <f t="shared" si="5"/>
        <v>50.55</v>
      </c>
      <c r="J21" s="312">
        <f t="shared" si="0"/>
        <v>-184.51</v>
      </c>
    </row>
    <row r="22" spans="1:10" s="3" customFormat="1" ht="13.5" thickBot="1">
      <c r="A22" s="457"/>
      <c r="B22" s="429"/>
      <c r="C22" s="48" t="s">
        <v>3</v>
      </c>
      <c r="D22" s="554">
        <f t="shared" si="5"/>
        <v>35.97</v>
      </c>
      <c r="E22" s="348">
        <f t="shared" si="5"/>
        <v>56.6</v>
      </c>
      <c r="F22" s="554">
        <f t="shared" si="5"/>
        <v>2.74</v>
      </c>
      <c r="G22" s="554">
        <f t="shared" si="5"/>
        <v>6.41</v>
      </c>
      <c r="H22" s="348">
        <f t="shared" si="5"/>
        <v>2.24</v>
      </c>
      <c r="I22" s="554">
        <f t="shared" si="5"/>
        <v>1.74</v>
      </c>
      <c r="J22" s="312">
        <f t="shared" si="0"/>
        <v>105.7</v>
      </c>
    </row>
    <row r="23" spans="1:10" s="3" customFormat="1" ht="13.5" thickBot="1">
      <c r="A23" s="458"/>
      <c r="B23" s="429"/>
      <c r="C23" s="63" t="s">
        <v>175</v>
      </c>
      <c r="D23" s="349">
        <f aca="true" t="shared" si="6" ref="D23:J23">D18+D19-D20</f>
        <v>0</v>
      </c>
      <c r="E23" s="558">
        <f t="shared" si="6"/>
        <v>0</v>
      </c>
      <c r="F23" s="349">
        <f t="shared" si="6"/>
        <v>0</v>
      </c>
      <c r="G23" s="349">
        <f t="shared" si="6"/>
        <v>2.4868995751603507E-14</v>
      </c>
      <c r="H23" s="558">
        <f t="shared" si="6"/>
        <v>-0.20000000000000107</v>
      </c>
      <c r="I23" s="349">
        <f t="shared" si="6"/>
        <v>-5.10702591327572E-15</v>
      </c>
      <c r="J23" s="349">
        <f t="shared" si="6"/>
        <v>-0.20000000000000284</v>
      </c>
    </row>
    <row r="24" spans="1:10" s="3" customFormat="1" ht="13.5" customHeight="1" thickBot="1">
      <c r="A24" s="434" t="s">
        <v>62</v>
      </c>
      <c r="B24" s="429" t="s">
        <v>10</v>
      </c>
      <c r="C24" s="49" t="s">
        <v>167</v>
      </c>
      <c r="D24" s="555">
        <v>181752.19</v>
      </c>
      <c r="E24" s="559">
        <v>548910.96</v>
      </c>
      <c r="F24" s="553">
        <v>86447.35</v>
      </c>
      <c r="G24" s="555">
        <v>-42070.35</v>
      </c>
      <c r="H24" s="559">
        <v>189356.64</v>
      </c>
      <c r="I24" s="555">
        <f>2857.94-1996.76</f>
        <v>861.1800000000001</v>
      </c>
      <c r="J24" s="313">
        <f t="shared" si="0"/>
        <v>965257.97</v>
      </c>
    </row>
    <row r="25" spans="1:10" s="3" customFormat="1" ht="13.5" thickBot="1">
      <c r="A25" s="466"/>
      <c r="B25" s="429"/>
      <c r="C25" s="48" t="s">
        <v>1</v>
      </c>
      <c r="D25" s="554">
        <v>2113813.44</v>
      </c>
      <c r="E25" s="348">
        <v>2803648.87</v>
      </c>
      <c r="F25" s="554">
        <v>1165004.28</v>
      </c>
      <c r="G25" s="554">
        <v>2676710.84</v>
      </c>
      <c r="H25" s="348">
        <v>1445611.76</v>
      </c>
      <c r="I25" s="554">
        <f>1828133.66+1996.76</f>
        <v>1830130.42</v>
      </c>
      <c r="J25" s="312">
        <f t="shared" si="0"/>
        <v>12034919.61</v>
      </c>
    </row>
    <row r="26" spans="1:10" s="3" customFormat="1" ht="13.5" thickBot="1">
      <c r="A26" s="466"/>
      <c r="B26" s="429"/>
      <c r="C26" s="50" t="s">
        <v>2</v>
      </c>
      <c r="D26" s="554">
        <v>1785479.33</v>
      </c>
      <c r="E26" s="348">
        <v>2472499.82</v>
      </c>
      <c r="F26" s="554">
        <v>1113871.84</v>
      </c>
      <c r="G26" s="554">
        <v>2437044.08</v>
      </c>
      <c r="H26" s="348">
        <v>1363781.95</v>
      </c>
      <c r="I26" s="554">
        <v>2516123.86</v>
      </c>
      <c r="J26" s="312">
        <f t="shared" si="0"/>
        <v>11688800.879999999</v>
      </c>
    </row>
    <row r="27" spans="1:10" s="3" customFormat="1" ht="13.5" thickBot="1">
      <c r="A27" s="466"/>
      <c r="B27" s="429"/>
      <c r="C27" s="48" t="s">
        <v>4</v>
      </c>
      <c r="D27" s="554">
        <f aca="true" t="shared" si="7" ref="D27:I28">+D25</f>
        <v>2113813.44</v>
      </c>
      <c r="E27" s="348">
        <f t="shared" si="7"/>
        <v>2803648.87</v>
      </c>
      <c r="F27" s="554">
        <f t="shared" si="7"/>
        <v>1165004.28</v>
      </c>
      <c r="G27" s="554">
        <f t="shared" si="7"/>
        <v>2676710.84</v>
      </c>
      <c r="H27" s="348">
        <f t="shared" si="7"/>
        <v>1445611.76</v>
      </c>
      <c r="I27" s="554">
        <f t="shared" si="7"/>
        <v>1830130.42</v>
      </c>
      <c r="J27" s="312">
        <f t="shared" si="0"/>
        <v>12034919.61</v>
      </c>
    </row>
    <row r="28" spans="1:10" s="3" customFormat="1" ht="13.5" thickBot="1">
      <c r="A28" s="466"/>
      <c r="B28" s="429"/>
      <c r="C28" s="48" t="s">
        <v>3</v>
      </c>
      <c r="D28" s="554">
        <f t="shared" si="7"/>
        <v>1785479.33</v>
      </c>
      <c r="E28" s="348">
        <f t="shared" si="7"/>
        <v>2472499.82</v>
      </c>
      <c r="F28" s="554">
        <f t="shared" si="7"/>
        <v>1113871.84</v>
      </c>
      <c r="G28" s="554">
        <f t="shared" si="7"/>
        <v>2437044.08</v>
      </c>
      <c r="H28" s="348">
        <f t="shared" si="7"/>
        <v>1363781.95</v>
      </c>
      <c r="I28" s="554">
        <f t="shared" si="7"/>
        <v>2516123.86</v>
      </c>
      <c r="J28" s="312">
        <f t="shared" si="0"/>
        <v>11688800.879999999</v>
      </c>
    </row>
    <row r="29" spans="1:10" s="3" customFormat="1" ht="13.5" thickBot="1">
      <c r="A29" s="466"/>
      <c r="B29" s="429"/>
      <c r="C29" s="63" t="s">
        <v>175</v>
      </c>
      <c r="D29" s="349">
        <f aca="true" t="shared" si="8" ref="D29:J29">D24+D25-D26</f>
        <v>510086.2999999998</v>
      </c>
      <c r="E29" s="558">
        <f t="shared" si="8"/>
        <v>880060.0100000002</v>
      </c>
      <c r="F29" s="349">
        <f t="shared" si="8"/>
        <v>137579.79000000004</v>
      </c>
      <c r="G29" s="349">
        <f t="shared" si="8"/>
        <v>197596.40999999968</v>
      </c>
      <c r="H29" s="558">
        <f t="shared" si="8"/>
        <v>271186.44999999995</v>
      </c>
      <c r="I29" s="349">
        <f t="shared" si="8"/>
        <v>-685132.26</v>
      </c>
      <c r="J29" s="349">
        <f t="shared" si="8"/>
        <v>1311376.7000000011</v>
      </c>
    </row>
    <row r="30" spans="1:10" s="3" customFormat="1" ht="13.5" thickBot="1">
      <c r="A30" s="466"/>
      <c r="B30" s="429" t="s">
        <v>12</v>
      </c>
      <c r="C30" s="49" t="s">
        <v>167</v>
      </c>
      <c r="D30" s="555">
        <v>122500.18</v>
      </c>
      <c r="E30" s="559">
        <v>267140.14</v>
      </c>
      <c r="F30" s="555">
        <v>21222.56</v>
      </c>
      <c r="G30" s="555">
        <v>64398.19</v>
      </c>
      <c r="H30" s="559">
        <v>58250.28</v>
      </c>
      <c r="I30" s="555">
        <f>47276.55-720.57</f>
        <v>46555.98</v>
      </c>
      <c r="J30" s="313">
        <f t="shared" si="0"/>
        <v>580067.3300000001</v>
      </c>
    </row>
    <row r="31" spans="1:10" s="3" customFormat="1" ht="13.5" thickBot="1">
      <c r="A31" s="466"/>
      <c r="B31" s="429"/>
      <c r="C31" s="48" t="s">
        <v>1</v>
      </c>
      <c r="D31" s="554">
        <v>274712.09</v>
      </c>
      <c r="E31" s="348">
        <v>389415.08</v>
      </c>
      <c r="F31" s="554">
        <v>128120.82</v>
      </c>
      <c r="G31" s="554">
        <v>318817.77</v>
      </c>
      <c r="H31" s="348">
        <v>244882.01</v>
      </c>
      <c r="I31" s="554">
        <f>314295.6+720.57</f>
        <v>315016.17</v>
      </c>
      <c r="J31" s="312">
        <f t="shared" si="0"/>
        <v>1670963.9400000002</v>
      </c>
    </row>
    <row r="32" spans="1:10" s="3" customFormat="1" ht="13.5" thickBot="1">
      <c r="A32" s="466"/>
      <c r="B32" s="429"/>
      <c r="C32" s="50" t="s">
        <v>2</v>
      </c>
      <c r="D32" s="554">
        <v>285116.45</v>
      </c>
      <c r="E32" s="348">
        <v>252405.44</v>
      </c>
      <c r="F32" s="554">
        <v>110459.5</v>
      </c>
      <c r="G32" s="554">
        <v>317586.57</v>
      </c>
      <c r="H32" s="348">
        <v>200014.43</v>
      </c>
      <c r="I32" s="554">
        <v>279632.32</v>
      </c>
      <c r="J32" s="312">
        <f t="shared" si="0"/>
        <v>1445214.71</v>
      </c>
    </row>
    <row r="33" spans="1:10" s="3" customFormat="1" ht="13.5" thickBot="1">
      <c r="A33" s="466"/>
      <c r="B33" s="429"/>
      <c r="C33" s="48" t="s">
        <v>4</v>
      </c>
      <c r="D33" s="554">
        <f aca="true" t="shared" si="9" ref="D33:I34">+D31</f>
        <v>274712.09</v>
      </c>
      <c r="E33" s="348">
        <f t="shared" si="9"/>
        <v>389415.08</v>
      </c>
      <c r="F33" s="554">
        <f t="shared" si="9"/>
        <v>128120.82</v>
      </c>
      <c r="G33" s="554">
        <f t="shared" si="9"/>
        <v>318817.77</v>
      </c>
      <c r="H33" s="348">
        <f t="shared" si="9"/>
        <v>244882.01</v>
      </c>
      <c r="I33" s="554">
        <f t="shared" si="9"/>
        <v>315016.17</v>
      </c>
      <c r="J33" s="312">
        <f t="shared" si="0"/>
        <v>1670963.9400000002</v>
      </c>
    </row>
    <row r="34" spans="1:10" s="3" customFormat="1" ht="13.5" thickBot="1">
      <c r="A34" s="466"/>
      <c r="B34" s="429"/>
      <c r="C34" s="48" t="s">
        <v>3</v>
      </c>
      <c r="D34" s="554">
        <f t="shared" si="9"/>
        <v>285116.45</v>
      </c>
      <c r="E34" s="348">
        <f t="shared" si="9"/>
        <v>252405.44</v>
      </c>
      <c r="F34" s="554">
        <f t="shared" si="9"/>
        <v>110459.5</v>
      </c>
      <c r="G34" s="554">
        <v>368260.06</v>
      </c>
      <c r="H34" s="348">
        <f t="shared" si="9"/>
        <v>200014.43</v>
      </c>
      <c r="I34" s="554">
        <f>I33+I30</f>
        <v>361572.14999999997</v>
      </c>
      <c r="J34" s="312">
        <f t="shared" si="0"/>
        <v>1577828.0299999998</v>
      </c>
    </row>
    <row r="35" spans="1:10" s="3" customFormat="1" ht="13.5" thickBot="1">
      <c r="A35" s="466"/>
      <c r="B35" s="429"/>
      <c r="C35" s="63" t="s">
        <v>175</v>
      </c>
      <c r="D35" s="349">
        <f aca="true" t="shared" si="10" ref="D35:I35">D30+D31-D32</f>
        <v>112095.82</v>
      </c>
      <c r="E35" s="558">
        <f t="shared" si="10"/>
        <v>404149.77999999997</v>
      </c>
      <c r="F35" s="349">
        <f t="shared" si="10"/>
        <v>38883.880000000005</v>
      </c>
      <c r="G35" s="349">
        <f t="shared" si="10"/>
        <v>65629.39000000001</v>
      </c>
      <c r="H35" s="558">
        <f t="shared" si="10"/>
        <v>103117.86000000004</v>
      </c>
      <c r="I35" s="349">
        <f t="shared" si="10"/>
        <v>81939.82999999996</v>
      </c>
      <c r="J35" s="349">
        <f>J30+J31-J32</f>
        <v>805816.5600000005</v>
      </c>
    </row>
    <row r="36" spans="1:10" s="3" customFormat="1" ht="13.5" thickBot="1">
      <c r="A36" s="466"/>
      <c r="B36" s="429" t="s">
        <v>124</v>
      </c>
      <c r="C36" s="49" t="s">
        <v>167</v>
      </c>
      <c r="D36" s="555">
        <v>-110.22</v>
      </c>
      <c r="E36" s="559">
        <v>577.8</v>
      </c>
      <c r="F36" s="555">
        <v>-46.93</v>
      </c>
      <c r="G36" s="555">
        <v>-215.61</v>
      </c>
      <c r="H36" s="559">
        <v>-94.74</v>
      </c>
      <c r="I36" s="555">
        <v>-78.53</v>
      </c>
      <c r="J36" s="313">
        <f t="shared" si="0"/>
        <v>31.769999999999953</v>
      </c>
    </row>
    <row r="37" spans="1:10" s="3" customFormat="1" ht="13.5" thickBot="1">
      <c r="A37" s="466"/>
      <c r="B37" s="429"/>
      <c r="C37" s="48" t="s">
        <v>1</v>
      </c>
      <c r="D37" s="554">
        <v>117.79</v>
      </c>
      <c r="E37" s="348">
        <v>-489.07</v>
      </c>
      <c r="F37" s="554">
        <v>51.25</v>
      </c>
      <c r="G37" s="554">
        <v>225.65</v>
      </c>
      <c r="H37" s="348">
        <v>98.21</v>
      </c>
      <c r="I37" s="554">
        <v>79.09</v>
      </c>
      <c r="J37" s="312">
        <f t="shared" si="0"/>
        <v>82.92000000000006</v>
      </c>
    </row>
    <row r="38" spans="1:10" s="3" customFormat="1" ht="13.5" thickBot="1">
      <c r="A38" s="466"/>
      <c r="B38" s="429"/>
      <c r="C38" s="50" t="s">
        <v>2</v>
      </c>
      <c r="D38" s="554">
        <v>7.57</v>
      </c>
      <c r="E38" s="348">
        <v>88.73</v>
      </c>
      <c r="F38" s="554">
        <v>4.32</v>
      </c>
      <c r="G38" s="554">
        <v>10.04</v>
      </c>
      <c r="H38" s="348">
        <v>3.47</v>
      </c>
      <c r="I38" s="554">
        <v>0.56</v>
      </c>
      <c r="J38" s="312">
        <f aca="true" t="shared" si="11" ref="J38:J65">I38+H38+G38+F38+E38+D38</f>
        <v>114.69</v>
      </c>
    </row>
    <row r="39" spans="1:10" s="3" customFormat="1" ht="13.5" thickBot="1">
      <c r="A39" s="466"/>
      <c r="B39" s="429"/>
      <c r="C39" s="48" t="s">
        <v>4</v>
      </c>
      <c r="D39" s="554">
        <f aca="true" t="shared" si="12" ref="D39:I40">+D37</f>
        <v>117.79</v>
      </c>
      <c r="E39" s="348">
        <f t="shared" si="12"/>
        <v>-489.07</v>
      </c>
      <c r="F39" s="554">
        <f t="shared" si="12"/>
        <v>51.25</v>
      </c>
      <c r="G39" s="554">
        <f t="shared" si="12"/>
        <v>225.65</v>
      </c>
      <c r="H39" s="348">
        <f t="shared" si="12"/>
        <v>98.21</v>
      </c>
      <c r="I39" s="554">
        <f t="shared" si="12"/>
        <v>79.09</v>
      </c>
      <c r="J39" s="312">
        <f t="shared" si="11"/>
        <v>82.92000000000006</v>
      </c>
    </row>
    <row r="40" spans="1:10" s="3" customFormat="1" ht="13.5" thickBot="1">
      <c r="A40" s="466"/>
      <c r="B40" s="429"/>
      <c r="C40" s="48" t="s">
        <v>3</v>
      </c>
      <c r="D40" s="554">
        <f t="shared" si="12"/>
        <v>7.57</v>
      </c>
      <c r="E40" s="348">
        <f t="shared" si="12"/>
        <v>88.73</v>
      </c>
      <c r="F40" s="554">
        <f t="shared" si="12"/>
        <v>4.32</v>
      </c>
      <c r="G40" s="554">
        <f t="shared" si="12"/>
        <v>10.04</v>
      </c>
      <c r="H40" s="348">
        <f t="shared" si="12"/>
        <v>3.47</v>
      </c>
      <c r="I40" s="554">
        <f t="shared" si="12"/>
        <v>0.56</v>
      </c>
      <c r="J40" s="312">
        <f t="shared" si="11"/>
        <v>114.69</v>
      </c>
    </row>
    <row r="41" spans="1:10" s="3" customFormat="1" ht="13.5" thickBot="1">
      <c r="A41" s="466"/>
      <c r="B41" s="429"/>
      <c r="C41" s="63" t="s">
        <v>175</v>
      </c>
      <c r="D41" s="349">
        <f aca="true" t="shared" si="13" ref="D41:J41">D36+D37-D38</f>
        <v>7.105427357601002E-15</v>
      </c>
      <c r="E41" s="558">
        <f t="shared" si="13"/>
        <v>0</v>
      </c>
      <c r="F41" s="349">
        <f t="shared" si="13"/>
        <v>0</v>
      </c>
      <c r="G41" s="349">
        <f t="shared" si="13"/>
        <v>0</v>
      </c>
      <c r="H41" s="558">
        <f t="shared" si="13"/>
        <v>0</v>
      </c>
      <c r="I41" s="349">
        <f t="shared" si="13"/>
        <v>2.220446049250313E-15</v>
      </c>
      <c r="J41" s="349">
        <f t="shared" si="13"/>
        <v>0</v>
      </c>
    </row>
    <row r="42" spans="1:10" s="3" customFormat="1" ht="13.5" customHeight="1">
      <c r="A42" s="392" t="s">
        <v>11</v>
      </c>
      <c r="B42" s="430" t="s">
        <v>135</v>
      </c>
      <c r="C42" s="49" t="s">
        <v>167</v>
      </c>
      <c r="D42" s="555">
        <f>6020.23+49.31</f>
        <v>6069.54</v>
      </c>
      <c r="E42" s="559">
        <f>-206.7-2207.93+6995.17-36.19</f>
        <v>4544.350000000001</v>
      </c>
      <c r="F42" s="555">
        <f>-1346.49-15.49</f>
        <v>-1361.98</v>
      </c>
      <c r="G42" s="555">
        <f>-493.1-3191.28-2594.87-52.33</f>
        <v>-6331.58</v>
      </c>
      <c r="H42" s="559">
        <f>-879.59-11.71</f>
        <v>-891.3000000000001</v>
      </c>
      <c r="I42" s="555">
        <f>-21011.28+-3511.72+-32.96</f>
        <v>-24555.96</v>
      </c>
      <c r="J42" s="311">
        <f t="shared" si="11"/>
        <v>-22526.929999999997</v>
      </c>
    </row>
    <row r="43" spans="1:10" s="3" customFormat="1" ht="12.75">
      <c r="A43" s="462"/>
      <c r="B43" s="431"/>
      <c r="C43" s="48" t="s">
        <v>1</v>
      </c>
      <c r="D43" s="554">
        <f>-5004.21-41.29</f>
        <v>-5045.5</v>
      </c>
      <c r="E43" s="348">
        <f>206.71+2207.93-5922.69+36.19</f>
        <v>-3471.8599999999997</v>
      </c>
      <c r="F43" s="554">
        <f>1383.04+15.49</f>
        <v>1398.53</v>
      </c>
      <c r="G43" s="554">
        <f>493.1+3191.28+2715.8+52.33</f>
        <v>6452.51</v>
      </c>
      <c r="H43" s="348">
        <f>921.62+11.71</f>
        <v>933.33</v>
      </c>
      <c r="I43" s="554">
        <f>21011.28+3511.72+32.96</f>
        <v>24555.96</v>
      </c>
      <c r="J43" s="312">
        <f t="shared" si="11"/>
        <v>24822.97</v>
      </c>
    </row>
    <row r="44" spans="1:10" s="3" customFormat="1" ht="15" customHeight="1">
      <c r="A44" s="462"/>
      <c r="B44" s="431"/>
      <c r="C44" s="50" t="s">
        <v>2</v>
      </c>
      <c r="D44" s="554">
        <f>1016.02+8.02</f>
        <v>1024.04</v>
      </c>
      <c r="E44" s="348">
        <f>0.01+1072.48</f>
        <v>1072.49</v>
      </c>
      <c r="F44" s="554">
        <v>36.55</v>
      </c>
      <c r="G44" s="554">
        <v>120.93</v>
      </c>
      <c r="H44" s="348">
        <v>42.03</v>
      </c>
      <c r="I44" s="554">
        <v>0</v>
      </c>
      <c r="J44" s="312">
        <f t="shared" si="11"/>
        <v>2296.04</v>
      </c>
    </row>
    <row r="45" spans="1:10" s="3" customFormat="1" ht="12.75">
      <c r="A45" s="462"/>
      <c r="B45" s="431"/>
      <c r="C45" s="48" t="s">
        <v>4</v>
      </c>
      <c r="D45" s="554">
        <f aca="true" t="shared" si="14" ref="D45:I46">+D43</f>
        <v>-5045.5</v>
      </c>
      <c r="E45" s="348">
        <f t="shared" si="14"/>
        <v>-3471.8599999999997</v>
      </c>
      <c r="F45" s="554">
        <f t="shared" si="14"/>
        <v>1398.53</v>
      </c>
      <c r="G45" s="554">
        <f t="shared" si="14"/>
        <v>6452.51</v>
      </c>
      <c r="H45" s="348">
        <f t="shared" si="14"/>
        <v>933.33</v>
      </c>
      <c r="I45" s="554">
        <f t="shared" si="14"/>
        <v>24555.96</v>
      </c>
      <c r="J45" s="312">
        <f t="shared" si="11"/>
        <v>24822.97</v>
      </c>
    </row>
    <row r="46" spans="1:10" s="3" customFormat="1" ht="12.75">
      <c r="A46" s="462"/>
      <c r="B46" s="431"/>
      <c r="C46" s="48" t="s">
        <v>3</v>
      </c>
      <c r="D46" s="554">
        <f t="shared" si="14"/>
        <v>1024.04</v>
      </c>
      <c r="E46" s="348">
        <f t="shared" si="14"/>
        <v>1072.49</v>
      </c>
      <c r="F46" s="554">
        <f t="shared" si="14"/>
        <v>36.55</v>
      </c>
      <c r="G46" s="554">
        <f t="shared" si="14"/>
        <v>120.93</v>
      </c>
      <c r="H46" s="348">
        <f t="shared" si="14"/>
        <v>42.03</v>
      </c>
      <c r="I46" s="554">
        <f t="shared" si="14"/>
        <v>0</v>
      </c>
      <c r="J46" s="312">
        <f t="shared" si="11"/>
        <v>2296.04</v>
      </c>
    </row>
    <row r="47" spans="1:10" s="3" customFormat="1" ht="13.5" thickBot="1">
      <c r="A47" s="462"/>
      <c r="B47" s="432"/>
      <c r="C47" s="63" t="s">
        <v>175</v>
      </c>
      <c r="D47" s="349">
        <f aca="true" t="shared" si="15" ref="D47:I47">D42+D43-D44</f>
        <v>0</v>
      </c>
      <c r="E47" s="558">
        <f t="shared" si="15"/>
        <v>0</v>
      </c>
      <c r="F47" s="349">
        <f t="shared" si="15"/>
        <v>0</v>
      </c>
      <c r="G47" s="349">
        <f t="shared" si="15"/>
        <v>2.8421709430404007E-13</v>
      </c>
      <c r="H47" s="558">
        <f t="shared" si="15"/>
        <v>0</v>
      </c>
      <c r="I47" s="349">
        <f t="shared" si="15"/>
        <v>0</v>
      </c>
      <c r="J47" s="349">
        <f>J42+J43-J44</f>
        <v>4.547473508864641E-12</v>
      </c>
    </row>
    <row r="48" spans="1:10" s="3" customFormat="1" ht="13.5" customHeight="1" thickBot="1">
      <c r="A48" s="462"/>
      <c r="B48" s="429" t="s">
        <v>134</v>
      </c>
      <c r="C48" s="49" t="s">
        <v>167</v>
      </c>
      <c r="D48" s="555"/>
      <c r="E48" s="559">
        <f>7984.39-104.81-2048.65</f>
        <v>5830.93</v>
      </c>
      <c r="F48" s="555"/>
      <c r="G48" s="555">
        <f>-2703.18-290.43-2593.2</f>
        <v>-5586.8099999999995</v>
      </c>
      <c r="H48" s="559"/>
      <c r="I48" s="555">
        <f>-4191.46+-1820.92</f>
        <v>-6012.38</v>
      </c>
      <c r="J48" s="313">
        <f t="shared" si="11"/>
        <v>-5768.259999999998</v>
      </c>
    </row>
    <row r="49" spans="1:10" s="3" customFormat="1" ht="13.5" thickBot="1">
      <c r="A49" s="462"/>
      <c r="B49" s="429"/>
      <c r="C49" s="48" t="s">
        <v>1</v>
      </c>
      <c r="D49" s="554"/>
      <c r="E49" s="348">
        <f>-6456.86+104.81+2048.65</f>
        <v>-4303.4</v>
      </c>
      <c r="F49" s="554"/>
      <c r="G49" s="554">
        <f>2703.18+290.43+2593.2</f>
        <v>5586.8099999999995</v>
      </c>
      <c r="H49" s="348"/>
      <c r="I49" s="554">
        <f>4191.46+1820.92</f>
        <v>6012.38</v>
      </c>
      <c r="J49" s="312">
        <f t="shared" si="11"/>
        <v>7295.789999999999</v>
      </c>
    </row>
    <row r="50" spans="1:10" s="3" customFormat="1" ht="13.5" thickBot="1">
      <c r="A50" s="462"/>
      <c r="B50" s="429"/>
      <c r="C50" s="50" t="s">
        <v>2</v>
      </c>
      <c r="D50" s="554"/>
      <c r="E50" s="348">
        <v>1527.53</v>
      </c>
      <c r="F50" s="554"/>
      <c r="G50" s="554">
        <v>0</v>
      </c>
      <c r="H50" s="348"/>
      <c r="I50" s="554">
        <v>0</v>
      </c>
      <c r="J50" s="312">
        <f t="shared" si="11"/>
        <v>1527.53</v>
      </c>
    </row>
    <row r="51" spans="1:10" s="3" customFormat="1" ht="13.5" thickBot="1">
      <c r="A51" s="462"/>
      <c r="B51" s="429"/>
      <c r="C51" s="48" t="s">
        <v>4</v>
      </c>
      <c r="D51" s="554"/>
      <c r="E51" s="348">
        <f>+E49</f>
        <v>-4303.4</v>
      </c>
      <c r="F51" s="554"/>
      <c r="G51" s="554">
        <f>+G49</f>
        <v>5586.8099999999995</v>
      </c>
      <c r="H51" s="348"/>
      <c r="I51" s="554">
        <f>+I49</f>
        <v>6012.38</v>
      </c>
      <c r="J51" s="312">
        <f t="shared" si="11"/>
        <v>7295.789999999999</v>
      </c>
    </row>
    <row r="52" spans="1:10" s="3" customFormat="1" ht="13.5" thickBot="1">
      <c r="A52" s="462"/>
      <c r="B52" s="429"/>
      <c r="C52" s="48" t="s">
        <v>3</v>
      </c>
      <c r="D52" s="554"/>
      <c r="E52" s="348">
        <f>+E50</f>
        <v>1527.53</v>
      </c>
      <c r="F52" s="554"/>
      <c r="G52" s="554">
        <f>+G50</f>
        <v>0</v>
      </c>
      <c r="H52" s="348"/>
      <c r="I52" s="554">
        <f>+I50</f>
        <v>0</v>
      </c>
      <c r="J52" s="312">
        <f t="shared" si="11"/>
        <v>1527.53</v>
      </c>
    </row>
    <row r="53" spans="1:10" s="3" customFormat="1" ht="13.5" thickBot="1">
      <c r="A53" s="463"/>
      <c r="B53" s="429"/>
      <c r="C53" s="63" t="s">
        <v>175</v>
      </c>
      <c r="D53" s="349"/>
      <c r="E53" s="558">
        <f>E48+E49-E50</f>
        <v>0</v>
      </c>
      <c r="F53" s="349"/>
      <c r="G53" s="349">
        <f>G48+G49-G50</f>
        <v>0</v>
      </c>
      <c r="H53" s="558"/>
      <c r="I53" s="349">
        <f>I48+I49-I50</f>
        <v>0</v>
      </c>
      <c r="J53" s="350">
        <f>I53+H53+G53+F53+E53+D53</f>
        <v>0</v>
      </c>
    </row>
    <row r="54" spans="1:10" s="24" customFormat="1" ht="12.75" customHeight="1" thickBot="1">
      <c r="A54" s="434" t="s">
        <v>13</v>
      </c>
      <c r="B54" s="429" t="s">
        <v>14</v>
      </c>
      <c r="C54" s="49" t="s">
        <v>167</v>
      </c>
      <c r="D54" s="555">
        <v>-1337.93</v>
      </c>
      <c r="E54" s="559">
        <v>57543.5</v>
      </c>
      <c r="F54" s="555">
        <v>-569.69</v>
      </c>
      <c r="G54" s="555">
        <v>9621.65</v>
      </c>
      <c r="H54" s="559">
        <v>18276.87</v>
      </c>
      <c r="I54" s="555">
        <v>13854.79</v>
      </c>
      <c r="J54" s="313">
        <f t="shared" si="11"/>
        <v>97389.19</v>
      </c>
    </row>
    <row r="55" spans="1:10" s="24" customFormat="1" ht="13.5" thickBot="1">
      <c r="A55" s="433"/>
      <c r="B55" s="429"/>
      <c r="C55" s="48" t="s">
        <v>1</v>
      </c>
      <c r="D55" s="554">
        <v>0</v>
      </c>
      <c r="E55" s="348">
        <v>162038.04</v>
      </c>
      <c r="F55" s="554">
        <v>0</v>
      </c>
      <c r="G55" s="554">
        <v>115359.14</v>
      </c>
      <c r="H55" s="348">
        <v>114152.5</v>
      </c>
      <c r="I55" s="554">
        <v>127575.4</v>
      </c>
      <c r="J55" s="312">
        <f t="shared" si="11"/>
        <v>519125.07999999996</v>
      </c>
    </row>
    <row r="56" spans="1:10" s="24" customFormat="1" ht="13.5" thickBot="1">
      <c r="A56" s="433"/>
      <c r="B56" s="429"/>
      <c r="C56" s="50" t="s">
        <v>2</v>
      </c>
      <c r="D56" s="554">
        <v>0</v>
      </c>
      <c r="E56" s="348">
        <v>137982.1</v>
      </c>
      <c r="F56" s="554">
        <v>0</v>
      </c>
      <c r="G56" s="554">
        <v>120801.91</v>
      </c>
      <c r="H56" s="348">
        <v>111226.08</v>
      </c>
      <c r="I56" s="554">
        <v>124961.09</v>
      </c>
      <c r="J56" s="312">
        <f t="shared" si="11"/>
        <v>494971.17999999993</v>
      </c>
    </row>
    <row r="57" spans="1:10" s="24" customFormat="1" ht="13.5" thickBot="1">
      <c r="A57" s="433"/>
      <c r="B57" s="429"/>
      <c r="C57" s="48" t="s">
        <v>4</v>
      </c>
      <c r="D57" s="554">
        <f aca="true" t="shared" si="16" ref="D57:I58">+D55</f>
        <v>0</v>
      </c>
      <c r="E57" s="348">
        <f t="shared" si="16"/>
        <v>162038.04</v>
      </c>
      <c r="F57" s="554">
        <f t="shared" si="16"/>
        <v>0</v>
      </c>
      <c r="G57" s="554">
        <f t="shared" si="16"/>
        <v>115359.14</v>
      </c>
      <c r="H57" s="348">
        <f t="shared" si="16"/>
        <v>114152.5</v>
      </c>
      <c r="I57" s="554">
        <f t="shared" si="16"/>
        <v>127575.4</v>
      </c>
      <c r="J57" s="312">
        <f t="shared" si="11"/>
        <v>519125.07999999996</v>
      </c>
    </row>
    <row r="58" spans="1:10" s="24" customFormat="1" ht="13.5" thickBot="1">
      <c r="A58" s="433"/>
      <c r="B58" s="429"/>
      <c r="C58" s="48" t="s">
        <v>3</v>
      </c>
      <c r="D58" s="554">
        <f t="shared" si="16"/>
        <v>0</v>
      </c>
      <c r="E58" s="348">
        <f t="shared" si="16"/>
        <v>137982.1</v>
      </c>
      <c r="F58" s="554">
        <f t="shared" si="16"/>
        <v>0</v>
      </c>
      <c r="G58" s="554">
        <f t="shared" si="16"/>
        <v>120801.91</v>
      </c>
      <c r="H58" s="348">
        <f t="shared" si="16"/>
        <v>111226.08</v>
      </c>
      <c r="I58" s="554">
        <f t="shared" si="16"/>
        <v>124961.09</v>
      </c>
      <c r="J58" s="312">
        <f t="shared" si="11"/>
        <v>494971.17999999993</v>
      </c>
    </row>
    <row r="59" spans="1:10" s="3" customFormat="1" ht="13.5" thickBot="1">
      <c r="A59" s="433"/>
      <c r="B59" s="429"/>
      <c r="C59" s="63" t="s">
        <v>175</v>
      </c>
      <c r="D59" s="349">
        <f aca="true" t="shared" si="17" ref="D59:I59">D54+D55-D56</f>
        <v>-1337.93</v>
      </c>
      <c r="E59" s="558">
        <f t="shared" si="17"/>
        <v>81599.44</v>
      </c>
      <c r="F59" s="349">
        <f t="shared" si="17"/>
        <v>-569.69</v>
      </c>
      <c r="G59" s="349">
        <f t="shared" si="17"/>
        <v>4178.87999999999</v>
      </c>
      <c r="H59" s="558">
        <f t="shared" si="17"/>
        <v>21203.289999999994</v>
      </c>
      <c r="I59" s="349">
        <f t="shared" si="17"/>
        <v>16469.100000000006</v>
      </c>
      <c r="J59" s="350">
        <f t="shared" si="11"/>
        <v>121543.09</v>
      </c>
    </row>
    <row r="60" spans="1:10" s="24" customFormat="1" ht="13.5" thickBot="1">
      <c r="A60" s="433"/>
      <c r="B60" s="429" t="s">
        <v>15</v>
      </c>
      <c r="C60" s="49" t="s">
        <v>167</v>
      </c>
      <c r="D60" s="555">
        <v>-233.84</v>
      </c>
      <c r="E60" s="559">
        <v>12214.87</v>
      </c>
      <c r="F60" s="555">
        <v>-115.8</v>
      </c>
      <c r="G60" s="555">
        <f>-2628.89+2358.2</f>
        <v>-270.69000000000005</v>
      </c>
      <c r="H60" s="559">
        <f>-670.22+2671.28</f>
        <v>2001.0600000000002</v>
      </c>
      <c r="I60" s="555">
        <f>-527.42+5841.1</f>
        <v>5313.68</v>
      </c>
      <c r="J60" s="313">
        <f t="shared" si="11"/>
        <v>18909.280000000002</v>
      </c>
    </row>
    <row r="61" spans="1:10" s="24" customFormat="1" ht="13.5" thickBot="1">
      <c r="A61" s="433"/>
      <c r="B61" s="429"/>
      <c r="C61" s="48" t="s">
        <v>1</v>
      </c>
      <c r="D61" s="554">
        <v>233.83</v>
      </c>
      <c r="E61" s="348">
        <v>42452.24</v>
      </c>
      <c r="F61" s="554">
        <v>115.8</v>
      </c>
      <c r="G61" s="554">
        <f>2628.89+37091.63</f>
        <v>39720.52</v>
      </c>
      <c r="H61" s="348">
        <f>670.22+20366.08</f>
        <v>21036.300000000003</v>
      </c>
      <c r="I61" s="554">
        <f>527.42+44400.64</f>
        <v>44928.06</v>
      </c>
      <c r="J61" s="312">
        <f t="shared" si="11"/>
        <v>148486.75</v>
      </c>
    </row>
    <row r="62" spans="1:10" s="24" customFormat="1" ht="13.5" thickBot="1">
      <c r="A62" s="433"/>
      <c r="B62" s="429"/>
      <c r="C62" s="50" t="s">
        <v>2</v>
      </c>
      <c r="D62" s="554">
        <v>0</v>
      </c>
      <c r="E62" s="348">
        <v>38586.35</v>
      </c>
      <c r="F62" s="554">
        <v>0</v>
      </c>
      <c r="G62" s="554">
        <v>36937.63</v>
      </c>
      <c r="H62" s="348">
        <v>19151.31</v>
      </c>
      <c r="I62" s="554">
        <v>43684.31</v>
      </c>
      <c r="J62" s="312">
        <f t="shared" si="11"/>
        <v>138359.6</v>
      </c>
    </row>
    <row r="63" spans="1:10" s="24" customFormat="1" ht="13.5" thickBot="1">
      <c r="A63" s="433"/>
      <c r="B63" s="429"/>
      <c r="C63" s="48" t="s">
        <v>4</v>
      </c>
      <c r="D63" s="554">
        <f aca="true" t="shared" si="18" ref="D63:I64">+D61</f>
        <v>233.83</v>
      </c>
      <c r="E63" s="348">
        <f t="shared" si="18"/>
        <v>42452.24</v>
      </c>
      <c r="F63" s="554">
        <f t="shared" si="18"/>
        <v>115.8</v>
      </c>
      <c r="G63" s="554">
        <f t="shared" si="18"/>
        <v>39720.52</v>
      </c>
      <c r="H63" s="348">
        <f t="shared" si="18"/>
        <v>21036.300000000003</v>
      </c>
      <c r="I63" s="554">
        <f t="shared" si="18"/>
        <v>44928.06</v>
      </c>
      <c r="J63" s="312">
        <f t="shared" si="11"/>
        <v>148486.75</v>
      </c>
    </row>
    <row r="64" spans="1:10" s="24" customFormat="1" ht="13.5" thickBot="1">
      <c r="A64" s="433"/>
      <c r="B64" s="429"/>
      <c r="C64" s="48" t="s">
        <v>3</v>
      </c>
      <c r="D64" s="554">
        <f t="shared" si="18"/>
        <v>0</v>
      </c>
      <c r="E64" s="348">
        <f t="shared" si="18"/>
        <v>38586.35</v>
      </c>
      <c r="F64" s="554">
        <f t="shared" si="18"/>
        <v>0</v>
      </c>
      <c r="G64" s="554">
        <f t="shared" si="18"/>
        <v>36937.63</v>
      </c>
      <c r="H64" s="348">
        <f t="shared" si="18"/>
        <v>19151.31</v>
      </c>
      <c r="I64" s="554">
        <f t="shared" si="18"/>
        <v>43684.31</v>
      </c>
      <c r="J64" s="312">
        <f t="shared" si="11"/>
        <v>138359.6</v>
      </c>
    </row>
    <row r="65" spans="1:10" s="3" customFormat="1" ht="13.5" thickBot="1">
      <c r="A65" s="464"/>
      <c r="B65" s="429"/>
      <c r="C65" s="63" t="s">
        <v>175</v>
      </c>
      <c r="D65" s="349">
        <f aca="true" t="shared" si="19" ref="D65:I65">D60+D61-D62</f>
        <v>-0.009999999999990905</v>
      </c>
      <c r="E65" s="558">
        <f t="shared" si="19"/>
        <v>16080.760000000002</v>
      </c>
      <c r="F65" s="349">
        <f t="shared" si="19"/>
        <v>0</v>
      </c>
      <c r="G65" s="349">
        <f t="shared" si="19"/>
        <v>2512.199999999997</v>
      </c>
      <c r="H65" s="558">
        <f t="shared" si="19"/>
        <v>3886.050000000003</v>
      </c>
      <c r="I65" s="349">
        <f t="shared" si="19"/>
        <v>6557.43</v>
      </c>
      <c r="J65" s="350">
        <f t="shared" si="11"/>
        <v>29036.430000000004</v>
      </c>
    </row>
    <row r="66" spans="1:10" s="3" customFormat="1" ht="13.5" hidden="1" thickBot="1">
      <c r="A66" s="379"/>
      <c r="B66" s="439" t="s">
        <v>47</v>
      </c>
      <c r="C66" s="49" t="s">
        <v>156</v>
      </c>
      <c r="D66" s="102"/>
      <c r="E66" s="103"/>
      <c r="F66" s="102"/>
      <c r="G66" s="102"/>
      <c r="H66" s="103"/>
      <c r="I66" s="102"/>
      <c r="J66" s="313" t="e">
        <f>I66+H66+G66+F66+#REF!+E66+D66</f>
        <v>#REF!</v>
      </c>
    </row>
    <row r="67" spans="1:10" s="3" customFormat="1" ht="13.5" hidden="1" thickBot="1">
      <c r="A67" s="379"/>
      <c r="B67" s="439"/>
      <c r="C67" s="48" t="s">
        <v>1</v>
      </c>
      <c r="D67" s="94"/>
      <c r="E67" s="95"/>
      <c r="F67" s="94"/>
      <c r="G67" s="94"/>
      <c r="H67" s="95"/>
      <c r="I67" s="94"/>
      <c r="J67" s="312" t="e">
        <f>I67+H67+G67+F67+#REF!+E67+D67</f>
        <v>#REF!</v>
      </c>
    </row>
    <row r="68" spans="1:10" s="3" customFormat="1" ht="13.5" hidden="1" thickBot="1">
      <c r="A68" s="379"/>
      <c r="B68" s="439"/>
      <c r="C68" s="50" t="s">
        <v>2</v>
      </c>
      <c r="D68" s="94"/>
      <c r="E68" s="95"/>
      <c r="F68" s="94"/>
      <c r="G68" s="94"/>
      <c r="H68" s="95"/>
      <c r="I68" s="94"/>
      <c r="J68" s="312" t="e">
        <f>I68+H68+G68+F68+#REF!+E68+D68</f>
        <v>#REF!</v>
      </c>
    </row>
    <row r="69" spans="1:10" s="3" customFormat="1" ht="13.5" hidden="1" thickBot="1">
      <c r="A69" s="379"/>
      <c r="B69" s="439"/>
      <c r="C69" s="48" t="s">
        <v>4</v>
      </c>
      <c r="D69" s="94"/>
      <c r="E69" s="95"/>
      <c r="F69" s="94"/>
      <c r="G69" s="94"/>
      <c r="H69" s="95"/>
      <c r="I69" s="94"/>
      <c r="J69" s="312" t="e">
        <f>I69+H69+G69+F69+#REF!+E69+D69</f>
        <v>#REF!</v>
      </c>
    </row>
    <row r="70" spans="1:10" s="3" customFormat="1" ht="13.5" hidden="1" thickBot="1">
      <c r="A70" s="379"/>
      <c r="B70" s="439"/>
      <c r="C70" s="48" t="s">
        <v>3</v>
      </c>
      <c r="D70" s="94"/>
      <c r="E70" s="95"/>
      <c r="F70" s="94"/>
      <c r="G70" s="94"/>
      <c r="H70" s="95"/>
      <c r="I70" s="94"/>
      <c r="J70" s="312" t="e">
        <f>I70+H70+G70+F70+#REF!+E70+D70</f>
        <v>#REF!</v>
      </c>
    </row>
    <row r="71" spans="1:10" s="13" customFormat="1" ht="13.5" hidden="1" thickBot="1">
      <c r="A71" s="379"/>
      <c r="B71" s="439"/>
      <c r="C71" s="63" t="s">
        <v>160</v>
      </c>
      <c r="D71" s="12">
        <f>D66+D67-D68</f>
        <v>0</v>
      </c>
      <c r="E71" s="17">
        <f>E66+E67-E68</f>
        <v>0</v>
      </c>
      <c r="F71" s="12">
        <f>F66+F67-F68</f>
        <v>0</v>
      </c>
      <c r="G71" s="12">
        <f>G66+G67-G68</f>
        <v>0</v>
      </c>
      <c r="H71" s="17">
        <f>H66+H67-H68</f>
        <v>0</v>
      </c>
      <c r="I71" s="12"/>
      <c r="J71" s="575" t="e">
        <f>I71+H71+G71+F71+#REF!+E71+D71</f>
        <v>#REF!</v>
      </c>
    </row>
    <row r="72" spans="1:10" s="3" customFormat="1" ht="13.5" customHeight="1" hidden="1" thickBot="1">
      <c r="A72" s="379"/>
      <c r="B72" s="439" t="s">
        <v>45</v>
      </c>
      <c r="C72" s="49" t="s">
        <v>156</v>
      </c>
      <c r="D72" s="94"/>
      <c r="E72" s="95"/>
      <c r="F72" s="94"/>
      <c r="G72" s="94"/>
      <c r="H72" s="95"/>
      <c r="I72" s="94"/>
      <c r="J72" s="312" t="e">
        <f>I72+H72+G72+F72+#REF!+E72+D72</f>
        <v>#REF!</v>
      </c>
    </row>
    <row r="73" spans="1:10" s="3" customFormat="1" ht="13.5" customHeight="1" hidden="1" thickBot="1">
      <c r="A73" s="379"/>
      <c r="B73" s="439"/>
      <c r="C73" s="48" t="s">
        <v>1</v>
      </c>
      <c r="D73" s="94"/>
      <c r="E73" s="95"/>
      <c r="F73" s="94"/>
      <c r="G73" s="94"/>
      <c r="H73" s="95"/>
      <c r="I73" s="94"/>
      <c r="J73" s="312" t="e">
        <f>I73+H73+G73+F73+#REF!+E73+D73</f>
        <v>#REF!</v>
      </c>
    </row>
    <row r="74" spans="1:10" s="3" customFormat="1" ht="13.5" customHeight="1" hidden="1" thickBot="1">
      <c r="A74" s="379"/>
      <c r="B74" s="439"/>
      <c r="C74" s="50" t="s">
        <v>2</v>
      </c>
      <c r="D74" s="94"/>
      <c r="E74" s="95"/>
      <c r="F74" s="94"/>
      <c r="G74" s="94"/>
      <c r="H74" s="95"/>
      <c r="I74" s="94"/>
      <c r="J74" s="312" t="e">
        <f>I74+H74+G74+F74+#REF!+E74+D74</f>
        <v>#REF!</v>
      </c>
    </row>
    <row r="75" spans="1:10" s="3" customFormat="1" ht="13.5" customHeight="1" hidden="1" thickBot="1">
      <c r="A75" s="379"/>
      <c r="B75" s="439"/>
      <c r="C75" s="48" t="s">
        <v>4</v>
      </c>
      <c r="D75" s="94"/>
      <c r="E75" s="95"/>
      <c r="F75" s="96"/>
      <c r="G75" s="94"/>
      <c r="H75" s="97"/>
      <c r="I75" s="96"/>
      <c r="J75" s="312" t="e">
        <f>I75+H75+G75+F75+#REF!+E75+D75</f>
        <v>#REF!</v>
      </c>
    </row>
    <row r="76" spans="1:10" s="3" customFormat="1" ht="13.5" customHeight="1" hidden="1" thickBot="1">
      <c r="A76" s="379"/>
      <c r="B76" s="439"/>
      <c r="C76" s="48" t="s">
        <v>3</v>
      </c>
      <c r="D76" s="12"/>
      <c r="E76" s="17"/>
      <c r="F76" s="96"/>
      <c r="G76" s="12"/>
      <c r="H76" s="97"/>
      <c r="I76" s="96"/>
      <c r="J76" s="312" t="e">
        <f>I76+H76+G76+F76+#REF!+E76+D76</f>
        <v>#REF!</v>
      </c>
    </row>
    <row r="77" spans="1:10" s="3" customFormat="1" ht="13.5" customHeight="1" hidden="1" thickBot="1">
      <c r="A77" s="379"/>
      <c r="B77" s="439"/>
      <c r="C77" s="63" t="s">
        <v>160</v>
      </c>
      <c r="D77" s="12">
        <f>D72+D73-D74</f>
        <v>0</v>
      </c>
      <c r="E77" s="17">
        <f>E72+E73-E74</f>
        <v>0</v>
      </c>
      <c r="F77" s="12">
        <f>F72+F73-F74</f>
        <v>0</v>
      </c>
      <c r="G77" s="12">
        <f>G72+G73-G74</f>
        <v>0</v>
      </c>
      <c r="H77" s="17">
        <f>H72+H73-H74</f>
        <v>0</v>
      </c>
      <c r="I77" s="12"/>
      <c r="J77" s="575" t="e">
        <f>I77+H77+G77+F77+#REF!+E77+D77</f>
        <v>#REF!</v>
      </c>
    </row>
    <row r="78" spans="1:10" s="3" customFormat="1" ht="14.25" customHeight="1" hidden="1" thickBot="1">
      <c r="A78" s="379" t="s">
        <v>17</v>
      </c>
      <c r="B78" s="439" t="s">
        <v>43</v>
      </c>
      <c r="C78" s="49" t="s">
        <v>156</v>
      </c>
      <c r="D78" s="94"/>
      <c r="E78" s="95"/>
      <c r="F78" s="94"/>
      <c r="G78" s="94"/>
      <c r="H78" s="95"/>
      <c r="I78" s="94"/>
      <c r="J78" s="312" t="e">
        <f>I78+H78+G78+F78+#REF!+E78+D78</f>
        <v>#REF!</v>
      </c>
    </row>
    <row r="79" spans="1:10" s="3" customFormat="1" ht="13.5" customHeight="1" hidden="1" thickBot="1">
      <c r="A79" s="379"/>
      <c r="B79" s="439"/>
      <c r="C79" s="48" t="s">
        <v>1</v>
      </c>
      <c r="D79" s="94"/>
      <c r="E79" s="95"/>
      <c r="F79" s="94"/>
      <c r="G79" s="94"/>
      <c r="H79" s="95"/>
      <c r="I79" s="94"/>
      <c r="J79" s="312" t="e">
        <f>I79+H79+G79+F79+#REF!+E79+D79</f>
        <v>#REF!</v>
      </c>
    </row>
    <row r="80" spans="1:10" s="3" customFormat="1" ht="13.5" customHeight="1" hidden="1" thickBot="1">
      <c r="A80" s="379"/>
      <c r="B80" s="439"/>
      <c r="C80" s="50" t="s">
        <v>2</v>
      </c>
      <c r="D80" s="94"/>
      <c r="E80" s="95"/>
      <c r="F80" s="94"/>
      <c r="G80" s="94"/>
      <c r="H80" s="95"/>
      <c r="I80" s="94"/>
      <c r="J80" s="312" t="e">
        <f>I80+H80+G80+F80+#REF!+E80+D80</f>
        <v>#REF!</v>
      </c>
    </row>
    <row r="81" spans="1:10" s="3" customFormat="1" ht="13.5" customHeight="1" hidden="1" thickBot="1">
      <c r="A81" s="379"/>
      <c r="B81" s="439"/>
      <c r="C81" s="48" t="s">
        <v>4</v>
      </c>
      <c r="D81" s="94"/>
      <c r="E81" s="95"/>
      <c r="F81" s="94"/>
      <c r="G81" s="94"/>
      <c r="H81" s="95"/>
      <c r="I81" s="94"/>
      <c r="J81" s="312" t="e">
        <f>I81+H81+G81+F81+#REF!+E81+D81</f>
        <v>#REF!</v>
      </c>
    </row>
    <row r="82" spans="1:10" s="3" customFormat="1" ht="13.5" customHeight="1" hidden="1" thickBot="1">
      <c r="A82" s="379"/>
      <c r="B82" s="439"/>
      <c r="C82" s="48" t="s">
        <v>3</v>
      </c>
      <c r="D82" s="12"/>
      <c r="E82" s="17"/>
      <c r="F82" s="12"/>
      <c r="G82" s="12"/>
      <c r="H82" s="17"/>
      <c r="I82" s="12"/>
      <c r="J82" s="312" t="e">
        <f>I82+H82+G82+F82+#REF!+E82+D82</f>
        <v>#REF!</v>
      </c>
    </row>
    <row r="83" spans="1:10" s="3" customFormat="1" ht="13.5" customHeight="1" hidden="1" thickBot="1">
      <c r="A83" s="379"/>
      <c r="B83" s="439"/>
      <c r="C83" s="63" t="s">
        <v>160</v>
      </c>
      <c r="D83" s="12">
        <f>D78+D79-D80</f>
        <v>0</v>
      </c>
      <c r="E83" s="17">
        <f>E78+E79-E80</f>
        <v>0</v>
      </c>
      <c r="F83" s="12">
        <f>F78+F79-F80</f>
        <v>0</v>
      </c>
      <c r="G83" s="12">
        <f>G78+G79-G80</f>
        <v>0</v>
      </c>
      <c r="H83" s="17">
        <f>H78+H79-H80</f>
        <v>0</v>
      </c>
      <c r="I83" s="12"/>
      <c r="J83" s="575" t="e">
        <f>I83+H83+G83+F83+#REF!+E83+D83</f>
        <v>#REF!</v>
      </c>
    </row>
    <row r="84" spans="1:10" s="3" customFormat="1" ht="13.5" customHeight="1" hidden="1" thickBot="1">
      <c r="A84" s="379"/>
      <c r="B84" s="439" t="s">
        <v>18</v>
      </c>
      <c r="C84" s="49" t="s">
        <v>156</v>
      </c>
      <c r="D84" s="94"/>
      <c r="E84" s="95"/>
      <c r="F84" s="94"/>
      <c r="G84" s="94"/>
      <c r="H84" s="95"/>
      <c r="I84" s="94"/>
      <c r="J84" s="312" t="e">
        <f>I84+H84+G84+F84+#REF!+E84+D84</f>
        <v>#REF!</v>
      </c>
    </row>
    <row r="85" spans="1:10" s="3" customFormat="1" ht="13.5" customHeight="1" hidden="1" thickBot="1">
      <c r="A85" s="379"/>
      <c r="B85" s="439"/>
      <c r="C85" s="48" t="s">
        <v>1</v>
      </c>
      <c r="D85" s="94"/>
      <c r="E85" s="95"/>
      <c r="F85" s="94"/>
      <c r="G85" s="94"/>
      <c r="H85" s="95"/>
      <c r="I85" s="94"/>
      <c r="J85" s="312" t="e">
        <f>I85+H85+G85+F85+#REF!+E85+D85</f>
        <v>#REF!</v>
      </c>
    </row>
    <row r="86" spans="1:10" s="3" customFormat="1" ht="13.5" customHeight="1" hidden="1" thickBot="1">
      <c r="A86" s="379"/>
      <c r="B86" s="439"/>
      <c r="C86" s="50" t="s">
        <v>2</v>
      </c>
      <c r="D86" s="94"/>
      <c r="E86" s="95"/>
      <c r="F86" s="94"/>
      <c r="G86" s="94"/>
      <c r="H86" s="95"/>
      <c r="I86" s="94"/>
      <c r="J86" s="312" t="e">
        <f>I86+H86+G86+F86+#REF!+E86+D86</f>
        <v>#REF!</v>
      </c>
    </row>
    <row r="87" spans="1:10" s="3" customFormat="1" ht="13.5" customHeight="1" hidden="1" thickBot="1">
      <c r="A87" s="379"/>
      <c r="B87" s="439"/>
      <c r="C87" s="48" t="s">
        <v>4</v>
      </c>
      <c r="D87" s="94"/>
      <c r="E87" s="95"/>
      <c r="F87" s="94"/>
      <c r="G87" s="94"/>
      <c r="H87" s="95"/>
      <c r="I87" s="94"/>
      <c r="J87" s="312" t="e">
        <f>I87+H87+G87+F87+#REF!+E87+D87</f>
        <v>#REF!</v>
      </c>
    </row>
    <row r="88" spans="1:10" s="3" customFormat="1" ht="13.5" customHeight="1" hidden="1" thickBot="1">
      <c r="A88" s="379"/>
      <c r="B88" s="439"/>
      <c r="C88" s="48" t="s">
        <v>3</v>
      </c>
      <c r="D88" s="12"/>
      <c r="E88" s="17"/>
      <c r="F88" s="12"/>
      <c r="G88" s="12"/>
      <c r="H88" s="17"/>
      <c r="I88" s="12"/>
      <c r="J88" s="312" t="e">
        <f>I88+H88+G88+F88+#REF!+E88+D88</f>
        <v>#REF!</v>
      </c>
    </row>
    <row r="89" spans="1:10" s="3" customFormat="1" ht="13.5" customHeight="1" hidden="1" thickBot="1">
      <c r="A89" s="379"/>
      <c r="B89" s="439"/>
      <c r="C89" s="63" t="s">
        <v>160</v>
      </c>
      <c r="D89" s="12">
        <f>D84+D85-D86</f>
        <v>0</v>
      </c>
      <c r="E89" s="17">
        <f>E84+E85-E86</f>
        <v>0</v>
      </c>
      <c r="F89" s="12">
        <f>F84+F85-F86</f>
        <v>0</v>
      </c>
      <c r="G89" s="12">
        <f>G84+G85-G86</f>
        <v>0</v>
      </c>
      <c r="H89" s="17">
        <f>H84+H85-H86</f>
        <v>0</v>
      </c>
      <c r="I89" s="12"/>
      <c r="J89" s="575" t="e">
        <f>I89+H89+G89+F89+#REF!+E89+D89</f>
        <v>#REF!</v>
      </c>
    </row>
    <row r="90" spans="1:10" s="3" customFormat="1" ht="13.5" customHeight="1" hidden="1" thickBot="1">
      <c r="A90" s="379"/>
      <c r="B90" s="439" t="s">
        <v>19</v>
      </c>
      <c r="C90" s="49" t="s">
        <v>156</v>
      </c>
      <c r="D90" s="94"/>
      <c r="E90" s="95"/>
      <c r="F90" s="94"/>
      <c r="G90" s="94"/>
      <c r="H90" s="95"/>
      <c r="I90" s="94"/>
      <c r="J90" s="312" t="e">
        <f>I90+H90+G90+F90+#REF!+E90+D90</f>
        <v>#REF!</v>
      </c>
    </row>
    <row r="91" spans="1:10" s="3" customFormat="1" ht="13.5" customHeight="1" hidden="1" thickBot="1">
      <c r="A91" s="379"/>
      <c r="B91" s="439"/>
      <c r="C91" s="48" t="s">
        <v>1</v>
      </c>
      <c r="D91" s="94"/>
      <c r="E91" s="95"/>
      <c r="F91" s="94"/>
      <c r="G91" s="94"/>
      <c r="H91" s="95"/>
      <c r="I91" s="94"/>
      <c r="J91" s="312" t="e">
        <f>I91+H91+G91+F91+#REF!+E91+D91</f>
        <v>#REF!</v>
      </c>
    </row>
    <row r="92" spans="1:10" s="3" customFormat="1" ht="13.5" customHeight="1" hidden="1" thickBot="1">
      <c r="A92" s="379"/>
      <c r="B92" s="439"/>
      <c r="C92" s="50" t="s">
        <v>2</v>
      </c>
      <c r="D92" s="94"/>
      <c r="E92" s="95"/>
      <c r="F92" s="94"/>
      <c r="G92" s="94"/>
      <c r="H92" s="95"/>
      <c r="I92" s="94"/>
      <c r="J92" s="312" t="e">
        <f>I92+H92+G92+F92+#REF!+E92+D92</f>
        <v>#REF!</v>
      </c>
    </row>
    <row r="93" spans="1:10" s="3" customFormat="1" ht="13.5" customHeight="1" hidden="1" thickBot="1">
      <c r="A93" s="379"/>
      <c r="B93" s="439"/>
      <c r="C93" s="48" t="s">
        <v>4</v>
      </c>
      <c r="D93" s="94"/>
      <c r="E93" s="95"/>
      <c r="F93" s="94"/>
      <c r="G93" s="94"/>
      <c r="H93" s="95"/>
      <c r="I93" s="94"/>
      <c r="J93" s="312" t="e">
        <f>I93+H93+G93+F93+#REF!+E93+D93</f>
        <v>#REF!</v>
      </c>
    </row>
    <row r="94" spans="1:10" s="3" customFormat="1" ht="13.5" customHeight="1" hidden="1" thickBot="1">
      <c r="A94" s="379"/>
      <c r="B94" s="439"/>
      <c r="C94" s="48" t="s">
        <v>3</v>
      </c>
      <c r="D94" s="12"/>
      <c r="E94" s="17"/>
      <c r="F94" s="12"/>
      <c r="G94" s="12"/>
      <c r="H94" s="17"/>
      <c r="I94" s="12"/>
      <c r="J94" s="312" t="e">
        <f>I94+H94+G94+F94+#REF!+E94+D94</f>
        <v>#REF!</v>
      </c>
    </row>
    <row r="95" spans="1:10" s="3" customFormat="1" ht="13.5" customHeight="1" hidden="1" thickBot="1">
      <c r="A95" s="379"/>
      <c r="B95" s="439"/>
      <c r="C95" s="63" t="s">
        <v>160</v>
      </c>
      <c r="D95" s="98">
        <f>D90+D91-D92</f>
        <v>0</v>
      </c>
      <c r="E95" s="99">
        <f>E90+E91-E92</f>
        <v>0</v>
      </c>
      <c r="F95" s="98">
        <f>F90+F91-F92</f>
        <v>0</v>
      </c>
      <c r="G95" s="98">
        <f>G90+G91-G92</f>
        <v>0</v>
      </c>
      <c r="H95" s="99">
        <f>H90+H91-H92</f>
        <v>0</v>
      </c>
      <c r="I95" s="98"/>
      <c r="J95" s="576" t="e">
        <f>I95+H95+G95+F95+#REF!+E95+D95</f>
        <v>#REF!</v>
      </c>
    </row>
    <row r="96" spans="1:10" s="24" customFormat="1" ht="13.5" customHeight="1" thickBot="1">
      <c r="A96" s="379"/>
      <c r="B96" s="439" t="s">
        <v>16</v>
      </c>
      <c r="C96" s="49" t="s">
        <v>167</v>
      </c>
      <c r="D96" s="553">
        <v>42733.67</v>
      </c>
      <c r="E96" s="562">
        <v>44786.13</v>
      </c>
      <c r="F96" s="553">
        <v>6931.81</v>
      </c>
      <c r="G96" s="553">
        <v>9153.77</v>
      </c>
      <c r="H96" s="562">
        <v>10425.24</v>
      </c>
      <c r="I96" s="553">
        <v>20445.33</v>
      </c>
      <c r="J96" s="311">
        <f aca="true" t="shared" si="20" ref="J96:J101">I96+H96+G96+F96+E96+D96</f>
        <v>134475.95</v>
      </c>
    </row>
    <row r="97" spans="1:10" s="24" customFormat="1" ht="13.5" thickBot="1">
      <c r="A97" s="379"/>
      <c r="B97" s="439"/>
      <c r="C97" s="48" t="s">
        <v>1</v>
      </c>
      <c r="D97" s="554">
        <v>110403.89</v>
      </c>
      <c r="E97" s="348">
        <v>147892.1</v>
      </c>
      <c r="F97" s="554">
        <v>58319.06</v>
      </c>
      <c r="G97" s="554">
        <v>135683.66</v>
      </c>
      <c r="H97" s="348">
        <v>81870.13</v>
      </c>
      <c r="I97" s="554">
        <v>170635.33</v>
      </c>
      <c r="J97" s="312">
        <f t="shared" si="20"/>
        <v>704804.17</v>
      </c>
    </row>
    <row r="98" spans="1:10" s="24" customFormat="1" ht="13.5" thickBot="1">
      <c r="A98" s="379"/>
      <c r="B98" s="439"/>
      <c r="C98" s="50" t="s">
        <v>2</v>
      </c>
      <c r="D98" s="554">
        <v>104776.31</v>
      </c>
      <c r="E98" s="348">
        <v>133572</v>
      </c>
      <c r="F98" s="554">
        <v>58429.21</v>
      </c>
      <c r="G98" s="554">
        <v>134608.83</v>
      </c>
      <c r="H98" s="348">
        <v>78116.61</v>
      </c>
      <c r="I98" s="554">
        <v>167710.63</v>
      </c>
      <c r="J98" s="312">
        <f t="shared" si="20"/>
        <v>677213.5900000001</v>
      </c>
    </row>
    <row r="99" spans="1:10" s="24" customFormat="1" ht="13.5" thickBot="1">
      <c r="A99" s="379"/>
      <c r="B99" s="439"/>
      <c r="C99" s="48" t="s">
        <v>4</v>
      </c>
      <c r="D99" s="554">
        <f aca="true" t="shared" si="21" ref="D99:I100">+D97</f>
        <v>110403.89</v>
      </c>
      <c r="E99" s="348">
        <f t="shared" si="21"/>
        <v>147892.1</v>
      </c>
      <c r="F99" s="554">
        <f t="shared" si="21"/>
        <v>58319.06</v>
      </c>
      <c r="G99" s="554">
        <f t="shared" si="21"/>
        <v>135683.66</v>
      </c>
      <c r="H99" s="348">
        <f t="shared" si="21"/>
        <v>81870.13</v>
      </c>
      <c r="I99" s="554">
        <f t="shared" si="21"/>
        <v>170635.33</v>
      </c>
      <c r="J99" s="312">
        <f t="shared" si="20"/>
        <v>704804.17</v>
      </c>
    </row>
    <row r="100" spans="1:10" s="24" customFormat="1" ht="13.5" thickBot="1">
      <c r="A100" s="379"/>
      <c r="B100" s="439"/>
      <c r="C100" s="48" t="s">
        <v>3</v>
      </c>
      <c r="D100" s="554">
        <f t="shared" si="21"/>
        <v>104776.31</v>
      </c>
      <c r="E100" s="348">
        <f t="shared" si="21"/>
        <v>133572</v>
      </c>
      <c r="F100" s="554">
        <v>62919.16</v>
      </c>
      <c r="G100" s="554">
        <f>G99+G96</f>
        <v>144837.43</v>
      </c>
      <c r="H100" s="348">
        <f t="shared" si="21"/>
        <v>78116.61</v>
      </c>
      <c r="I100" s="554">
        <f>I99+I96</f>
        <v>191080.65999999997</v>
      </c>
      <c r="J100" s="312">
        <f t="shared" si="20"/>
        <v>715302.1699999999</v>
      </c>
    </row>
    <row r="101" spans="1:10" s="3" customFormat="1" ht="13.5" thickBot="1">
      <c r="A101" s="379"/>
      <c r="B101" s="439"/>
      <c r="C101" s="63" t="s">
        <v>175</v>
      </c>
      <c r="D101" s="349">
        <f aca="true" t="shared" si="22" ref="D101:I101">D96+D97-D98</f>
        <v>48361.25</v>
      </c>
      <c r="E101" s="558">
        <f t="shared" si="22"/>
        <v>59106.23000000001</v>
      </c>
      <c r="F101" s="349">
        <f t="shared" si="22"/>
        <v>6821.659999999996</v>
      </c>
      <c r="G101" s="349">
        <f t="shared" si="22"/>
        <v>10228.600000000006</v>
      </c>
      <c r="H101" s="558">
        <f t="shared" si="22"/>
        <v>14178.76000000001</v>
      </c>
      <c r="I101" s="349">
        <f t="shared" si="22"/>
        <v>23370.02999999997</v>
      </c>
      <c r="J101" s="350">
        <f t="shared" si="20"/>
        <v>162066.53</v>
      </c>
    </row>
    <row r="102" spans="1:10" ht="13.5" customHeight="1">
      <c r="A102" s="465" t="s">
        <v>188</v>
      </c>
      <c r="B102" s="393"/>
      <c r="C102" s="376"/>
      <c r="D102" s="314"/>
      <c r="E102" s="564"/>
      <c r="F102" s="314"/>
      <c r="G102" s="314"/>
      <c r="H102" s="564"/>
      <c r="I102" s="314"/>
      <c r="J102" s="318"/>
    </row>
    <row r="103" spans="1:10" ht="12.75" customHeight="1" thickBot="1">
      <c r="A103" s="426"/>
      <c r="B103" s="426"/>
      <c r="C103" s="351" t="s">
        <v>167</v>
      </c>
      <c r="D103" s="315">
        <f aca="true" t="shared" si="23" ref="D103:J105">D6+D12+D18+D24+D30+D36+D42+D48+D54+D60+D96</f>
        <v>467061.98</v>
      </c>
      <c r="E103" s="565">
        <f t="shared" si="23"/>
        <v>1362381.9500000002</v>
      </c>
      <c r="F103" s="315">
        <f t="shared" si="23"/>
        <v>141168.48</v>
      </c>
      <c r="G103" s="315">
        <f t="shared" si="23"/>
        <v>91948.96</v>
      </c>
      <c r="H103" s="565">
        <f t="shared" si="23"/>
        <v>369087.05000000005</v>
      </c>
      <c r="I103" s="315">
        <f t="shared" si="23"/>
        <v>132393.65000000002</v>
      </c>
      <c r="J103" s="315">
        <f t="shared" si="23"/>
        <v>2564042.0700000003</v>
      </c>
    </row>
    <row r="104" spans="1:10" ht="13.5" thickBot="1">
      <c r="A104" s="427"/>
      <c r="B104" s="427"/>
      <c r="C104" s="41" t="s">
        <v>1</v>
      </c>
      <c r="D104" s="315">
        <f t="shared" si="23"/>
        <v>2918636.39</v>
      </c>
      <c r="E104" s="565">
        <f t="shared" si="23"/>
        <v>4148481.120000001</v>
      </c>
      <c r="F104" s="315">
        <f t="shared" si="23"/>
        <v>1570763.0300000003</v>
      </c>
      <c r="G104" s="315">
        <f t="shared" si="23"/>
        <v>3767298.4099999997</v>
      </c>
      <c r="H104" s="565">
        <f t="shared" si="23"/>
        <v>2301970.6099999994</v>
      </c>
      <c r="I104" s="315">
        <f t="shared" si="23"/>
        <v>3021728.0999999996</v>
      </c>
      <c r="J104" s="315">
        <f t="shared" si="23"/>
        <v>17728877.66</v>
      </c>
    </row>
    <row r="105" spans="1:10" ht="13.5" thickBot="1">
      <c r="A105" s="427"/>
      <c r="B105" s="427"/>
      <c r="C105" s="41" t="s">
        <v>2</v>
      </c>
      <c r="D105" s="315">
        <f t="shared" si="23"/>
        <v>2539027.52</v>
      </c>
      <c r="E105" s="565">
        <f t="shared" si="23"/>
        <v>3403774.75</v>
      </c>
      <c r="F105" s="315">
        <f t="shared" si="23"/>
        <v>1459761.4900000002</v>
      </c>
      <c r="G105" s="315">
        <f t="shared" si="23"/>
        <v>3484948.4400000004</v>
      </c>
      <c r="H105" s="565">
        <f t="shared" si="23"/>
        <v>2093470.1300000001</v>
      </c>
      <c r="I105" s="315">
        <f t="shared" si="23"/>
        <v>3573405.7599999993</v>
      </c>
      <c r="J105" s="315">
        <f t="shared" si="23"/>
        <v>16554388.089999998</v>
      </c>
    </row>
    <row r="106" spans="1:10" ht="13.5" thickBot="1">
      <c r="A106" s="427"/>
      <c r="B106" s="427"/>
      <c r="C106" s="41" t="s">
        <v>4</v>
      </c>
      <c r="D106" s="315">
        <f aca="true" t="shared" si="24" ref="D106:I107">D9+D15+D21+D27+D33+D39+D45+D51+D57+D63+D99</f>
        <v>2918636.39</v>
      </c>
      <c r="E106" s="565">
        <f t="shared" si="24"/>
        <v>4148481.120000001</v>
      </c>
      <c r="F106" s="315">
        <f t="shared" si="24"/>
        <v>1570763.0300000003</v>
      </c>
      <c r="G106" s="315">
        <f t="shared" si="24"/>
        <v>3767298.4099999997</v>
      </c>
      <c r="H106" s="565">
        <f t="shared" si="24"/>
        <v>2301970.6099999994</v>
      </c>
      <c r="I106" s="315">
        <f t="shared" si="24"/>
        <v>3021728.0999999996</v>
      </c>
      <c r="J106" s="315">
        <f>J9+J15+J21+J27+J33+J39+J45+J51+J57+J63+J99</f>
        <v>17728877.66</v>
      </c>
    </row>
    <row r="107" spans="1:10" ht="13.5" thickBot="1">
      <c r="A107" s="427"/>
      <c r="B107" s="427"/>
      <c r="C107" s="41" t="s">
        <v>3</v>
      </c>
      <c r="D107" s="315">
        <f t="shared" si="24"/>
        <v>2539027.52</v>
      </c>
      <c r="E107" s="565">
        <f t="shared" si="24"/>
        <v>3403774.75</v>
      </c>
      <c r="F107" s="315">
        <f t="shared" si="24"/>
        <v>1464251.4400000002</v>
      </c>
      <c r="G107" s="315">
        <f t="shared" si="24"/>
        <v>3545850.5300000007</v>
      </c>
      <c r="H107" s="565">
        <f t="shared" si="24"/>
        <v>2093470.1300000001</v>
      </c>
      <c r="I107" s="315">
        <f t="shared" si="24"/>
        <v>3788027.7399999998</v>
      </c>
      <c r="J107" s="315">
        <f>J10+J16+J22+J28+J34+J40+J46+J52+J58+J64+J100</f>
        <v>16834402.109999996</v>
      </c>
    </row>
    <row r="108" spans="1:10" s="4" customFormat="1" ht="13.5" thickBot="1">
      <c r="A108" s="427"/>
      <c r="B108" s="427"/>
      <c r="C108" s="42" t="s">
        <v>175</v>
      </c>
      <c r="D108" s="316">
        <f>D11+D17+D23+D29+D35+D41+D47+D53+D59+D65+D101</f>
        <v>846670.8499999997</v>
      </c>
      <c r="E108" s="566">
        <f aca="true" t="shared" si="25" ref="E108:J108">E11+E17+E23+E29+E35+E41+E47+E53+E59+E65+E101</f>
        <v>2107088.3200000003</v>
      </c>
      <c r="F108" s="316">
        <f t="shared" si="25"/>
        <v>252170.02000000005</v>
      </c>
      <c r="G108" s="316">
        <f t="shared" si="25"/>
        <v>374298.9299999997</v>
      </c>
      <c r="H108" s="566">
        <f t="shared" si="25"/>
        <v>577587.53</v>
      </c>
      <c r="I108" s="316">
        <f t="shared" si="25"/>
        <v>-419284.01</v>
      </c>
      <c r="J108" s="316">
        <f t="shared" si="25"/>
        <v>3738531.6400000015</v>
      </c>
    </row>
    <row r="109" spans="1:10" s="4" customFormat="1" ht="13.5" thickBot="1">
      <c r="A109" s="434" t="s">
        <v>54</v>
      </c>
      <c r="B109" s="429" t="s">
        <v>43</v>
      </c>
      <c r="C109" s="49" t="s">
        <v>167</v>
      </c>
      <c r="D109" s="555">
        <v>194911.29</v>
      </c>
      <c r="E109" s="559">
        <f>-188.78+190600.85</f>
        <v>190412.07</v>
      </c>
      <c r="F109" s="555">
        <v>30612.09</v>
      </c>
      <c r="G109" s="555">
        <v>39321.86</v>
      </c>
      <c r="H109" s="559">
        <v>56006.05</v>
      </c>
      <c r="I109" s="555">
        <v>92707.32</v>
      </c>
      <c r="J109" s="313">
        <f aca="true" t="shared" si="26" ref="J109:J121">I109+H109+G109+F109+E109+D109</f>
        <v>603970.68</v>
      </c>
    </row>
    <row r="110" spans="1:10" s="4" customFormat="1" ht="13.5" thickBot="1">
      <c r="A110" s="433"/>
      <c r="B110" s="429"/>
      <c r="C110" s="48" t="s">
        <v>1</v>
      </c>
      <c r="D110" s="554">
        <v>488646.01</v>
      </c>
      <c r="E110" s="348">
        <f>188.78+637482.65</f>
        <v>637671.43</v>
      </c>
      <c r="F110" s="554">
        <v>258120.65</v>
      </c>
      <c r="G110" s="554">
        <v>584859.95</v>
      </c>
      <c r="H110" s="348">
        <v>333106.01</v>
      </c>
      <c r="I110" s="554">
        <v>767330.75</v>
      </c>
      <c r="J110" s="312">
        <f t="shared" si="26"/>
        <v>3069734.8</v>
      </c>
    </row>
    <row r="111" spans="1:10" s="4" customFormat="1" ht="13.5" thickBot="1">
      <c r="A111" s="433"/>
      <c r="B111" s="429"/>
      <c r="C111" s="50" t="s">
        <v>2</v>
      </c>
      <c r="D111" s="554">
        <v>464051.15</v>
      </c>
      <c r="E111" s="348">
        <v>575226.33</v>
      </c>
      <c r="F111" s="554">
        <v>258542.86</v>
      </c>
      <c r="G111" s="554">
        <v>580093.28</v>
      </c>
      <c r="H111" s="348">
        <v>316348.15</v>
      </c>
      <c r="I111" s="554">
        <v>746509.19</v>
      </c>
      <c r="J111" s="312">
        <f t="shared" si="26"/>
        <v>2940770.96</v>
      </c>
    </row>
    <row r="112" spans="1:10" s="4" customFormat="1" ht="13.5" thickBot="1">
      <c r="A112" s="433"/>
      <c r="B112" s="429"/>
      <c r="C112" s="48" t="s">
        <v>4</v>
      </c>
      <c r="D112" s="568">
        <v>416384.31</v>
      </c>
      <c r="E112" s="569">
        <v>516834.82</v>
      </c>
      <c r="F112" s="568">
        <v>288439.03</v>
      </c>
      <c r="G112" s="568">
        <v>416628.07</v>
      </c>
      <c r="H112" s="569">
        <v>259264.31</v>
      </c>
      <c r="I112" s="568">
        <v>382489.71</v>
      </c>
      <c r="J112" s="323">
        <f t="shared" si="26"/>
        <v>2280040.25</v>
      </c>
    </row>
    <row r="113" spans="1:10" s="4" customFormat="1" ht="13.5" thickBot="1">
      <c r="A113" s="433"/>
      <c r="B113" s="429"/>
      <c r="C113" s="48" t="s">
        <v>3</v>
      </c>
      <c r="D113" s="554">
        <f>+D111</f>
        <v>464051.15</v>
      </c>
      <c r="E113" s="348">
        <f>+E111</f>
        <v>575226.33</v>
      </c>
      <c r="F113" s="554">
        <f>+F111</f>
        <v>258542.86</v>
      </c>
      <c r="G113" s="554">
        <f>G112+G109</f>
        <v>455949.93</v>
      </c>
      <c r="H113" s="348">
        <f>+H111</f>
        <v>316348.15</v>
      </c>
      <c r="I113" s="554">
        <f>I112+I109</f>
        <v>475197.03</v>
      </c>
      <c r="J113" s="312">
        <f t="shared" si="26"/>
        <v>2545315.45</v>
      </c>
    </row>
    <row r="114" spans="1:10" s="3" customFormat="1" ht="13.5" thickBot="1">
      <c r="A114" s="433"/>
      <c r="B114" s="429"/>
      <c r="C114" s="63" t="s">
        <v>175</v>
      </c>
      <c r="D114" s="349">
        <f aca="true" t="shared" si="27" ref="D114:J114">D109+D110-D111</f>
        <v>219506.15000000002</v>
      </c>
      <c r="E114" s="558">
        <f t="shared" si="27"/>
        <v>252857.17000000004</v>
      </c>
      <c r="F114" s="349">
        <f t="shared" si="27"/>
        <v>30189.880000000005</v>
      </c>
      <c r="G114" s="349">
        <f t="shared" si="27"/>
        <v>44088.52999999991</v>
      </c>
      <c r="H114" s="558">
        <f t="shared" si="27"/>
        <v>72763.90999999997</v>
      </c>
      <c r="I114" s="349">
        <f t="shared" si="27"/>
        <v>113528.88000000012</v>
      </c>
      <c r="J114" s="349">
        <f t="shared" si="27"/>
        <v>732934.52</v>
      </c>
    </row>
    <row r="115" spans="1:10" s="4" customFormat="1" ht="13.5" thickBot="1">
      <c r="A115" s="433"/>
      <c r="B115" s="429" t="s">
        <v>18</v>
      </c>
      <c r="C115" s="49" t="s">
        <v>167</v>
      </c>
      <c r="D115" s="555">
        <v>41737.4</v>
      </c>
      <c r="E115" s="559">
        <v>40577.51</v>
      </c>
      <c r="F115" s="555">
        <v>6330.4</v>
      </c>
      <c r="G115" s="555">
        <v>8360.12</v>
      </c>
      <c r="H115" s="559">
        <v>13017.98</v>
      </c>
      <c r="I115" s="555">
        <v>19686.91</v>
      </c>
      <c r="J115" s="313">
        <f t="shared" si="26"/>
        <v>129710.32</v>
      </c>
    </row>
    <row r="116" spans="1:10" s="4" customFormat="1" ht="13.5" thickBot="1">
      <c r="A116" s="433"/>
      <c r="B116" s="429"/>
      <c r="C116" s="48" t="s">
        <v>1</v>
      </c>
      <c r="D116" s="554">
        <v>100838.14</v>
      </c>
      <c r="E116" s="348">
        <v>135078.55</v>
      </c>
      <c r="F116" s="554">
        <v>53266.67</v>
      </c>
      <c r="G116" s="554">
        <v>123928.25</v>
      </c>
      <c r="H116" s="348">
        <v>68740.75</v>
      </c>
      <c r="I116" s="554">
        <v>162697.81</v>
      </c>
      <c r="J116" s="312">
        <f t="shared" si="26"/>
        <v>644550.17</v>
      </c>
    </row>
    <row r="117" spans="1:10" s="4" customFormat="1" ht="13.5" thickBot="1">
      <c r="A117" s="433"/>
      <c r="B117" s="429"/>
      <c r="C117" s="50" t="s">
        <v>2</v>
      </c>
      <c r="D117" s="554">
        <v>96008.94</v>
      </c>
      <c r="E117" s="348">
        <v>121980.42</v>
      </c>
      <c r="F117" s="554">
        <v>53366.46</v>
      </c>
      <c r="G117" s="554">
        <v>122945.88</v>
      </c>
      <c r="H117" s="348">
        <v>65311.82</v>
      </c>
      <c r="I117" s="554">
        <v>158210.28</v>
      </c>
      <c r="J117" s="312">
        <f t="shared" si="26"/>
        <v>617823.8</v>
      </c>
    </row>
    <row r="118" spans="1:10" s="4" customFormat="1" ht="13.5" thickBot="1">
      <c r="A118" s="433"/>
      <c r="B118" s="429"/>
      <c r="C118" s="48" t="s">
        <v>4</v>
      </c>
      <c r="D118" s="554">
        <f aca="true" t="shared" si="28" ref="D118:I119">+D116</f>
        <v>100838.14</v>
      </c>
      <c r="E118" s="348">
        <f t="shared" si="28"/>
        <v>135078.55</v>
      </c>
      <c r="F118" s="554">
        <f t="shared" si="28"/>
        <v>53266.67</v>
      </c>
      <c r="G118" s="554">
        <f t="shared" si="28"/>
        <v>123928.25</v>
      </c>
      <c r="H118" s="348">
        <f t="shared" si="28"/>
        <v>68740.75</v>
      </c>
      <c r="I118" s="554">
        <f t="shared" si="28"/>
        <v>162697.81</v>
      </c>
      <c r="J118" s="312">
        <f t="shared" si="26"/>
        <v>644550.17</v>
      </c>
    </row>
    <row r="119" spans="1:10" s="4" customFormat="1" ht="13.5" thickBot="1">
      <c r="A119" s="433"/>
      <c r="B119" s="429"/>
      <c r="C119" s="48" t="s">
        <v>3</v>
      </c>
      <c r="D119" s="554">
        <f t="shared" si="28"/>
        <v>96008.94</v>
      </c>
      <c r="E119" s="348">
        <f t="shared" si="28"/>
        <v>121980.42</v>
      </c>
      <c r="F119" s="554">
        <f t="shared" si="28"/>
        <v>53366.46</v>
      </c>
      <c r="G119" s="554">
        <f>G118+G115</f>
        <v>132288.37</v>
      </c>
      <c r="H119" s="348">
        <f t="shared" si="28"/>
        <v>65311.82</v>
      </c>
      <c r="I119" s="554">
        <f>I118+I115</f>
        <v>182384.72</v>
      </c>
      <c r="J119" s="312">
        <f t="shared" si="26"/>
        <v>651340.73</v>
      </c>
    </row>
    <row r="120" spans="1:10" s="3" customFormat="1" ht="13.5" thickBot="1">
      <c r="A120" s="433"/>
      <c r="B120" s="429"/>
      <c r="C120" s="63" t="s">
        <v>175</v>
      </c>
      <c r="D120" s="349">
        <f aca="true" t="shared" si="29" ref="D120:I120">D115+D116-D117</f>
        <v>46566.600000000006</v>
      </c>
      <c r="E120" s="558">
        <f t="shared" si="29"/>
        <v>53675.64</v>
      </c>
      <c r="F120" s="349">
        <f t="shared" si="29"/>
        <v>6230.610000000001</v>
      </c>
      <c r="G120" s="349">
        <f t="shared" si="29"/>
        <v>9342.48999999999</v>
      </c>
      <c r="H120" s="558">
        <f t="shared" si="29"/>
        <v>16446.909999999996</v>
      </c>
      <c r="I120" s="349">
        <f t="shared" si="29"/>
        <v>24174.440000000002</v>
      </c>
      <c r="J120" s="350">
        <f t="shared" si="26"/>
        <v>156436.69</v>
      </c>
    </row>
    <row r="121" spans="1:10" s="4" customFormat="1" ht="13.5" thickBot="1">
      <c r="A121" s="433"/>
      <c r="B121" s="429" t="s">
        <v>19</v>
      </c>
      <c r="C121" s="49" t="s">
        <v>167</v>
      </c>
      <c r="D121" s="555">
        <v>47122.39</v>
      </c>
      <c r="E121" s="559">
        <v>32134.27</v>
      </c>
      <c r="F121" s="555">
        <v>7333.28</v>
      </c>
      <c r="G121" s="555">
        <v>10005.43</v>
      </c>
      <c r="H121" s="559">
        <v>13224.71</v>
      </c>
      <c r="I121" s="555">
        <v>0</v>
      </c>
      <c r="J121" s="313">
        <f t="shared" si="26"/>
        <v>109820.08</v>
      </c>
    </row>
    <row r="122" spans="1:10" s="4" customFormat="1" ht="13.5" thickBot="1">
      <c r="A122" s="433"/>
      <c r="B122" s="429"/>
      <c r="C122" s="48" t="s">
        <v>1</v>
      </c>
      <c r="D122" s="554">
        <v>116780.79</v>
      </c>
      <c r="E122" s="348">
        <v>84514.44</v>
      </c>
      <c r="F122" s="554">
        <v>61688.23</v>
      </c>
      <c r="G122" s="554">
        <v>150565.29</v>
      </c>
      <c r="H122" s="348">
        <v>77713.68</v>
      </c>
      <c r="I122" s="573">
        <v>106795.39</v>
      </c>
      <c r="J122" s="312">
        <f aca="true" t="shared" si="30" ref="J122:J150">I122+H122+G122+F122+E122+D122</f>
        <v>598057.82</v>
      </c>
    </row>
    <row r="123" spans="1:10" s="4" customFormat="1" ht="13.5" thickBot="1">
      <c r="A123" s="433"/>
      <c r="B123" s="429"/>
      <c r="C123" s="50" t="s">
        <v>2</v>
      </c>
      <c r="D123" s="554">
        <v>111050.74</v>
      </c>
      <c r="E123" s="348">
        <v>78553.89</v>
      </c>
      <c r="F123" s="554">
        <v>61805.66</v>
      </c>
      <c r="G123" s="554">
        <v>149254.15</v>
      </c>
      <c r="H123" s="348">
        <v>73744.96</v>
      </c>
      <c r="I123" s="573">
        <v>80407.71</v>
      </c>
      <c r="J123" s="312">
        <f t="shared" si="30"/>
        <v>554817.11</v>
      </c>
    </row>
    <row r="124" spans="1:10" s="4" customFormat="1" ht="13.5" thickBot="1">
      <c r="A124" s="433"/>
      <c r="B124" s="429"/>
      <c r="C124" s="48" t="s">
        <v>4</v>
      </c>
      <c r="D124" s="554">
        <f aca="true" t="shared" si="31" ref="D124:I125">+D122</f>
        <v>116780.79</v>
      </c>
      <c r="E124" s="348">
        <f t="shared" si="31"/>
        <v>84514.44</v>
      </c>
      <c r="F124" s="554">
        <f t="shared" si="31"/>
        <v>61688.23</v>
      </c>
      <c r="G124" s="554">
        <f t="shared" si="31"/>
        <v>150565.29</v>
      </c>
      <c r="H124" s="348">
        <f t="shared" si="31"/>
        <v>77713.68</v>
      </c>
      <c r="I124" s="554">
        <f t="shared" si="31"/>
        <v>106795.39</v>
      </c>
      <c r="J124" s="312">
        <f t="shared" si="30"/>
        <v>598057.82</v>
      </c>
    </row>
    <row r="125" spans="1:10" s="4" customFormat="1" ht="13.5" thickBot="1">
      <c r="A125" s="433"/>
      <c r="B125" s="429"/>
      <c r="C125" s="48" t="s">
        <v>3</v>
      </c>
      <c r="D125" s="554">
        <f t="shared" si="31"/>
        <v>111050.74</v>
      </c>
      <c r="E125" s="348">
        <f t="shared" si="31"/>
        <v>78553.89</v>
      </c>
      <c r="F125" s="554">
        <f t="shared" si="31"/>
        <v>61805.66</v>
      </c>
      <c r="G125" s="554">
        <f>G124+G121</f>
        <v>160570.72</v>
      </c>
      <c r="H125" s="348">
        <f t="shared" si="31"/>
        <v>73744.96</v>
      </c>
      <c r="I125" s="554">
        <f>I124</f>
        <v>106795.39</v>
      </c>
      <c r="J125" s="312">
        <f t="shared" si="30"/>
        <v>592521.36</v>
      </c>
    </row>
    <row r="126" spans="1:10" s="3" customFormat="1" ht="13.5" thickBot="1">
      <c r="A126" s="433"/>
      <c r="B126" s="429"/>
      <c r="C126" s="63" t="s">
        <v>175</v>
      </c>
      <c r="D126" s="349">
        <f aca="true" t="shared" si="32" ref="D126:I126">D121+D122-D123</f>
        <v>52852.43999999999</v>
      </c>
      <c r="E126" s="558">
        <f t="shared" si="32"/>
        <v>38094.82000000001</v>
      </c>
      <c r="F126" s="349">
        <f t="shared" si="32"/>
        <v>7215.850000000006</v>
      </c>
      <c r="G126" s="349">
        <f t="shared" si="32"/>
        <v>11316.570000000007</v>
      </c>
      <c r="H126" s="558">
        <f t="shared" si="32"/>
        <v>17193.42999999998</v>
      </c>
      <c r="I126" s="349">
        <f t="shared" si="32"/>
        <v>26387.679999999993</v>
      </c>
      <c r="J126" s="350">
        <f t="shared" si="30"/>
        <v>153060.78999999998</v>
      </c>
    </row>
    <row r="127" spans="1:10" s="24" customFormat="1" ht="13.5" customHeight="1" hidden="1" thickBot="1">
      <c r="A127" s="433"/>
      <c r="B127" s="429" t="s">
        <v>18</v>
      </c>
      <c r="C127" s="49" t="s">
        <v>156</v>
      </c>
      <c r="D127" s="100"/>
      <c r="E127" s="101"/>
      <c r="F127" s="100"/>
      <c r="G127" s="100"/>
      <c r="H127" s="101"/>
      <c r="I127" s="100"/>
      <c r="J127" s="313">
        <f t="shared" si="30"/>
        <v>0</v>
      </c>
    </row>
    <row r="128" spans="1:10" s="24" customFormat="1" ht="13.5" customHeight="1" hidden="1" thickBot="1">
      <c r="A128" s="433"/>
      <c r="B128" s="429"/>
      <c r="C128" s="48" t="s">
        <v>1</v>
      </c>
      <c r="D128" s="96"/>
      <c r="E128" s="97"/>
      <c r="F128" s="96"/>
      <c r="G128" s="96"/>
      <c r="H128" s="97"/>
      <c r="I128" s="96"/>
      <c r="J128" s="312">
        <f t="shared" si="30"/>
        <v>0</v>
      </c>
    </row>
    <row r="129" spans="1:10" s="24" customFormat="1" ht="13.5" customHeight="1" hidden="1" thickBot="1">
      <c r="A129" s="433"/>
      <c r="B129" s="429"/>
      <c r="C129" s="50" t="s">
        <v>2</v>
      </c>
      <c r="D129" s="96"/>
      <c r="E129" s="97"/>
      <c r="F129" s="96"/>
      <c r="G129" s="96"/>
      <c r="H129" s="97"/>
      <c r="I129" s="96"/>
      <c r="J129" s="312">
        <f t="shared" si="30"/>
        <v>0</v>
      </c>
    </row>
    <row r="130" spans="1:11" s="24" customFormat="1" ht="13.5" customHeight="1" hidden="1" thickBot="1">
      <c r="A130" s="433"/>
      <c r="B130" s="429"/>
      <c r="C130" s="48" t="s">
        <v>4</v>
      </c>
      <c r="D130" s="96"/>
      <c r="E130" s="97"/>
      <c r="F130" s="96"/>
      <c r="G130" s="96"/>
      <c r="H130" s="97"/>
      <c r="I130" s="96"/>
      <c r="J130" s="312">
        <f t="shared" si="30"/>
        <v>0</v>
      </c>
      <c r="K130" s="28"/>
    </row>
    <row r="131" spans="1:10" s="24" customFormat="1" ht="13.5" customHeight="1" hidden="1" thickBot="1">
      <c r="A131" s="433"/>
      <c r="B131" s="429"/>
      <c r="C131" s="48" t="s">
        <v>3</v>
      </c>
      <c r="D131" s="96"/>
      <c r="E131" s="97"/>
      <c r="F131" s="96"/>
      <c r="G131" s="96"/>
      <c r="H131" s="97"/>
      <c r="I131" s="96"/>
      <c r="J131" s="312">
        <f t="shared" si="30"/>
        <v>0</v>
      </c>
    </row>
    <row r="132" spans="1:10" s="3" customFormat="1" ht="13.5" customHeight="1" hidden="1" thickBot="1">
      <c r="A132" s="433"/>
      <c r="B132" s="429"/>
      <c r="C132" s="63" t="s">
        <v>160</v>
      </c>
      <c r="D132" s="12">
        <f>D127+D128-D129</f>
        <v>0</v>
      </c>
      <c r="E132" s="17">
        <f>E127+E128-E129</f>
        <v>0</v>
      </c>
      <c r="F132" s="12">
        <f>F127+F128-F129</f>
        <v>0</v>
      </c>
      <c r="G132" s="12">
        <f>G127+G128-G129</f>
        <v>0</v>
      </c>
      <c r="H132" s="17">
        <f>H127+H128-H129</f>
        <v>0</v>
      </c>
      <c r="I132" s="12"/>
      <c r="J132" s="312">
        <f t="shared" si="30"/>
        <v>0</v>
      </c>
    </row>
    <row r="133" spans="1:10" s="24" customFormat="1" ht="13.5" customHeight="1" hidden="1" thickBot="1">
      <c r="A133" s="433"/>
      <c r="B133" s="429" t="s">
        <v>19</v>
      </c>
      <c r="C133" s="49" t="s">
        <v>156</v>
      </c>
      <c r="D133" s="96"/>
      <c r="E133" s="97"/>
      <c r="F133" s="96"/>
      <c r="G133" s="96"/>
      <c r="H133" s="97"/>
      <c r="I133" s="96"/>
      <c r="J133" s="312">
        <f t="shared" si="30"/>
        <v>0</v>
      </c>
    </row>
    <row r="134" spans="1:10" s="24" customFormat="1" ht="13.5" customHeight="1" hidden="1" thickBot="1">
      <c r="A134" s="433"/>
      <c r="B134" s="429"/>
      <c r="C134" s="48" t="s">
        <v>1</v>
      </c>
      <c r="D134" s="96"/>
      <c r="E134" s="97"/>
      <c r="F134" s="96"/>
      <c r="G134" s="96"/>
      <c r="H134" s="97"/>
      <c r="I134" s="96"/>
      <c r="J134" s="312">
        <f t="shared" si="30"/>
        <v>0</v>
      </c>
    </row>
    <row r="135" spans="1:10" s="24" customFormat="1" ht="13.5" customHeight="1" hidden="1" thickBot="1">
      <c r="A135" s="433"/>
      <c r="B135" s="429"/>
      <c r="C135" s="50" t="s">
        <v>2</v>
      </c>
      <c r="D135" s="96"/>
      <c r="E135" s="97"/>
      <c r="F135" s="96"/>
      <c r="G135" s="96"/>
      <c r="H135" s="97"/>
      <c r="I135" s="96"/>
      <c r="J135" s="312">
        <f t="shared" si="30"/>
        <v>0</v>
      </c>
    </row>
    <row r="136" spans="1:11" s="24" customFormat="1" ht="13.5" customHeight="1" hidden="1" thickBot="1">
      <c r="A136" s="433"/>
      <c r="B136" s="429"/>
      <c r="C136" s="48" t="s">
        <v>4</v>
      </c>
      <c r="D136" s="96"/>
      <c r="E136" s="97"/>
      <c r="F136" s="96"/>
      <c r="G136" s="96"/>
      <c r="H136" s="97"/>
      <c r="I136" s="96"/>
      <c r="J136" s="312">
        <f t="shared" si="30"/>
        <v>0</v>
      </c>
      <c r="K136" s="28"/>
    </row>
    <row r="137" spans="1:10" s="24" customFormat="1" ht="13.5" customHeight="1" hidden="1" thickBot="1">
      <c r="A137" s="433"/>
      <c r="B137" s="429"/>
      <c r="C137" s="48" t="s">
        <v>3</v>
      </c>
      <c r="D137" s="96"/>
      <c r="E137" s="97"/>
      <c r="F137" s="96"/>
      <c r="G137" s="96"/>
      <c r="H137" s="97"/>
      <c r="I137" s="96"/>
      <c r="J137" s="312">
        <f t="shared" si="30"/>
        <v>0</v>
      </c>
    </row>
    <row r="138" spans="1:10" s="3" customFormat="1" ht="13.5" customHeight="1" hidden="1" thickBot="1">
      <c r="A138" s="435"/>
      <c r="B138" s="429"/>
      <c r="C138" s="63" t="s">
        <v>160</v>
      </c>
      <c r="D138" s="12">
        <f>D133+D134-D135</f>
        <v>0</v>
      </c>
      <c r="E138" s="17">
        <f>E133+E134-E135</f>
        <v>0</v>
      </c>
      <c r="F138" s="12">
        <f>F133+F134-F135</f>
        <v>0</v>
      </c>
      <c r="G138" s="12">
        <f>G133+G134-G135</f>
        <v>0</v>
      </c>
      <c r="H138" s="17">
        <f>H133+H134-H135</f>
        <v>0</v>
      </c>
      <c r="I138" s="12"/>
      <c r="J138" s="312">
        <f t="shared" si="30"/>
        <v>0</v>
      </c>
    </row>
    <row r="139" spans="1:10" s="24" customFormat="1" ht="13.5" customHeight="1" hidden="1" thickBot="1">
      <c r="A139" s="428" t="s">
        <v>20</v>
      </c>
      <c r="B139" s="429" t="s">
        <v>21</v>
      </c>
      <c r="C139" s="49" t="s">
        <v>156</v>
      </c>
      <c r="D139" s="96"/>
      <c r="E139" s="97"/>
      <c r="F139" s="96"/>
      <c r="G139" s="96"/>
      <c r="H139" s="97"/>
      <c r="I139" s="96"/>
      <c r="J139" s="312">
        <f t="shared" si="30"/>
        <v>0</v>
      </c>
    </row>
    <row r="140" spans="1:10" s="24" customFormat="1" ht="13.5" customHeight="1" hidden="1" thickBot="1">
      <c r="A140" s="428"/>
      <c r="B140" s="429"/>
      <c r="C140" s="48" t="s">
        <v>1</v>
      </c>
      <c r="D140" s="96"/>
      <c r="E140" s="97"/>
      <c r="F140" s="96"/>
      <c r="G140" s="96"/>
      <c r="H140" s="97"/>
      <c r="I140" s="96"/>
      <c r="J140" s="312">
        <f t="shared" si="30"/>
        <v>0</v>
      </c>
    </row>
    <row r="141" spans="1:10" s="24" customFormat="1" ht="13.5" customHeight="1" hidden="1" thickBot="1">
      <c r="A141" s="428"/>
      <c r="B141" s="429"/>
      <c r="C141" s="50" t="s">
        <v>2</v>
      </c>
      <c r="D141" s="96"/>
      <c r="E141" s="97"/>
      <c r="F141" s="96"/>
      <c r="G141" s="96"/>
      <c r="H141" s="97"/>
      <c r="I141" s="96"/>
      <c r="J141" s="312">
        <f t="shared" si="30"/>
        <v>0</v>
      </c>
    </row>
    <row r="142" spans="1:10" s="24" customFormat="1" ht="13.5" customHeight="1" hidden="1" thickBot="1">
      <c r="A142" s="428"/>
      <c r="B142" s="429"/>
      <c r="C142" s="48" t="s">
        <v>4</v>
      </c>
      <c r="D142" s="96"/>
      <c r="E142" s="97"/>
      <c r="F142" s="96"/>
      <c r="G142" s="96"/>
      <c r="H142" s="97"/>
      <c r="I142" s="96"/>
      <c r="J142" s="312">
        <f t="shared" si="30"/>
        <v>0</v>
      </c>
    </row>
    <row r="143" spans="1:10" s="24" customFormat="1" ht="13.5" customHeight="1" hidden="1" thickBot="1">
      <c r="A143" s="428"/>
      <c r="B143" s="429"/>
      <c r="C143" s="48" t="s">
        <v>3</v>
      </c>
      <c r="D143" s="96"/>
      <c r="E143" s="97"/>
      <c r="F143" s="96"/>
      <c r="G143" s="96"/>
      <c r="H143" s="97"/>
      <c r="I143" s="96"/>
      <c r="J143" s="312">
        <f t="shared" si="30"/>
        <v>0</v>
      </c>
    </row>
    <row r="144" spans="1:10" s="3" customFormat="1" ht="13.5" customHeight="1" hidden="1" thickBot="1">
      <c r="A144" s="428"/>
      <c r="B144" s="429"/>
      <c r="C144" s="63" t="s">
        <v>160</v>
      </c>
      <c r="D144" s="12">
        <f>D139+D140-D141</f>
        <v>0</v>
      </c>
      <c r="E144" s="17">
        <f>E139+E140-E141</f>
        <v>0</v>
      </c>
      <c r="F144" s="12">
        <f>F139+F140-F141</f>
        <v>0</v>
      </c>
      <c r="G144" s="12">
        <f>G139+G140-G141</f>
        <v>0</v>
      </c>
      <c r="H144" s="17">
        <f>H139+H140-H141</f>
        <v>0</v>
      </c>
      <c r="I144" s="12"/>
      <c r="J144" s="312">
        <f t="shared" si="30"/>
        <v>0</v>
      </c>
    </row>
    <row r="145" spans="1:10" s="24" customFormat="1" ht="12.75" customHeight="1" hidden="1" thickBot="1">
      <c r="A145" s="428" t="s">
        <v>22</v>
      </c>
      <c r="B145" s="429" t="s">
        <v>21</v>
      </c>
      <c r="C145" s="49" t="s">
        <v>156</v>
      </c>
      <c r="D145" s="96"/>
      <c r="E145" s="97"/>
      <c r="F145" s="96"/>
      <c r="G145" s="96"/>
      <c r="H145" s="97"/>
      <c r="I145" s="96"/>
      <c r="J145" s="312">
        <f t="shared" si="30"/>
        <v>0</v>
      </c>
    </row>
    <row r="146" spans="1:10" s="24" customFormat="1" ht="13.5" customHeight="1" hidden="1" thickBot="1">
      <c r="A146" s="428"/>
      <c r="B146" s="429"/>
      <c r="C146" s="48" t="s">
        <v>1</v>
      </c>
      <c r="D146" s="96"/>
      <c r="E146" s="97"/>
      <c r="F146" s="96"/>
      <c r="G146" s="96"/>
      <c r="H146" s="97"/>
      <c r="I146" s="96"/>
      <c r="J146" s="312">
        <f t="shared" si="30"/>
        <v>0</v>
      </c>
    </row>
    <row r="147" spans="1:10" s="24" customFormat="1" ht="13.5" customHeight="1" hidden="1" thickBot="1">
      <c r="A147" s="428"/>
      <c r="B147" s="429"/>
      <c r="C147" s="50" t="s">
        <v>2</v>
      </c>
      <c r="D147" s="96"/>
      <c r="E147" s="97"/>
      <c r="F147" s="96"/>
      <c r="G147" s="96"/>
      <c r="H147" s="97"/>
      <c r="I147" s="96"/>
      <c r="J147" s="312">
        <f t="shared" si="30"/>
        <v>0</v>
      </c>
    </row>
    <row r="148" spans="1:10" s="24" customFormat="1" ht="13.5" customHeight="1" hidden="1" thickBot="1">
      <c r="A148" s="428"/>
      <c r="B148" s="429"/>
      <c r="C148" s="48" t="s">
        <v>4</v>
      </c>
      <c r="D148" s="96"/>
      <c r="E148" s="97"/>
      <c r="F148" s="96"/>
      <c r="G148" s="96"/>
      <c r="H148" s="97"/>
      <c r="I148" s="96"/>
      <c r="J148" s="312">
        <f t="shared" si="30"/>
        <v>0</v>
      </c>
    </row>
    <row r="149" spans="1:10" s="24" customFormat="1" ht="13.5" customHeight="1" hidden="1" thickBot="1">
      <c r="A149" s="428"/>
      <c r="B149" s="429"/>
      <c r="C149" s="48" t="s">
        <v>3</v>
      </c>
      <c r="D149" s="96"/>
      <c r="E149" s="97"/>
      <c r="F149" s="96"/>
      <c r="G149" s="96"/>
      <c r="H149" s="97"/>
      <c r="I149" s="96"/>
      <c r="J149" s="312">
        <f t="shared" si="30"/>
        <v>0</v>
      </c>
    </row>
    <row r="150" spans="1:10" s="3" customFormat="1" ht="13.5" customHeight="1" hidden="1" thickBot="1">
      <c r="A150" s="428"/>
      <c r="B150" s="429"/>
      <c r="C150" s="63" t="s">
        <v>160</v>
      </c>
      <c r="D150" s="98">
        <f>D145+D146-D147</f>
        <v>0</v>
      </c>
      <c r="E150" s="99">
        <f>E145+E146-E147</f>
        <v>0</v>
      </c>
      <c r="F150" s="98">
        <f>F145+F146-F147</f>
        <v>0</v>
      </c>
      <c r="G150" s="98">
        <f>G145+G146-G147</f>
        <v>0</v>
      </c>
      <c r="H150" s="99">
        <f>H145+H146-H147</f>
        <v>0</v>
      </c>
      <c r="I150" s="98"/>
      <c r="J150" s="577">
        <f t="shared" si="30"/>
        <v>0</v>
      </c>
    </row>
    <row r="151" spans="1:10" s="3" customFormat="1" ht="13.5" customHeight="1">
      <c r="A151" s="450" t="s">
        <v>142</v>
      </c>
      <c r="B151" s="454" t="s">
        <v>165</v>
      </c>
      <c r="C151" s="49" t="s">
        <v>167</v>
      </c>
      <c r="D151" s="553">
        <f>586.69+1986.1</f>
        <v>2572.79</v>
      </c>
      <c r="E151" s="562">
        <f>-12.43+2541.46</f>
        <v>2529.03</v>
      </c>
      <c r="F151" s="553">
        <f>-99.42+401.56</f>
        <v>302.14</v>
      </c>
      <c r="G151" s="553">
        <f>-141.14+528.62</f>
        <v>387.48</v>
      </c>
      <c r="H151" s="562">
        <f>197.2+847.78</f>
        <v>1044.98</v>
      </c>
      <c r="I151" s="553">
        <f>-222.99+1244.98</f>
        <v>1021.99</v>
      </c>
      <c r="J151" s="311">
        <f aca="true" t="shared" si="33" ref="J151:J174">I151+H151+G151+F151+E151+D151</f>
        <v>7858.410000000001</v>
      </c>
    </row>
    <row r="152" spans="1:10" s="3" customFormat="1" ht="13.5" customHeight="1">
      <c r="A152" s="451"/>
      <c r="B152" s="455"/>
      <c r="C152" s="48" t="s">
        <v>1</v>
      </c>
      <c r="D152" s="554">
        <f>-494.73+6377.29</f>
        <v>5882.5599999999995</v>
      </c>
      <c r="E152" s="348">
        <f>15.23+8542.77</f>
        <v>8558</v>
      </c>
      <c r="F152" s="554">
        <f>99.45+3368.56</f>
        <v>3468.0099999999998</v>
      </c>
      <c r="G152" s="554">
        <f>141.14+7837.37</f>
        <v>7978.51</v>
      </c>
      <c r="H152" s="348">
        <f>-197.2+4346.95</f>
        <v>4149.75</v>
      </c>
      <c r="I152" s="554">
        <f>222.99+10288.85</f>
        <v>10511.84</v>
      </c>
      <c r="J152" s="312">
        <f t="shared" si="33"/>
        <v>40548.67</v>
      </c>
    </row>
    <row r="153" spans="1:10" s="3" customFormat="1" ht="13.5" customHeight="1">
      <c r="A153" s="451"/>
      <c r="B153" s="455"/>
      <c r="C153" s="50" t="s">
        <v>2</v>
      </c>
      <c r="D153" s="554">
        <f>91.96+5998</f>
        <v>6089.96</v>
      </c>
      <c r="E153" s="348">
        <f>2.8+7713.01</f>
        <v>7715.81</v>
      </c>
      <c r="F153" s="554">
        <f>0.03+3376.02</f>
        <v>3376.05</v>
      </c>
      <c r="G153" s="554">
        <v>7775.15</v>
      </c>
      <c r="H153" s="348">
        <v>4131.4</v>
      </c>
      <c r="I153" s="554">
        <v>10004.97</v>
      </c>
      <c r="J153" s="312">
        <f t="shared" si="33"/>
        <v>39093.34</v>
      </c>
    </row>
    <row r="154" spans="1:10" s="3" customFormat="1" ht="13.5" customHeight="1">
      <c r="A154" s="451"/>
      <c r="B154" s="455"/>
      <c r="C154" s="48" t="s">
        <v>4</v>
      </c>
      <c r="D154" s="554">
        <f aca="true" t="shared" si="34" ref="D154:I155">+D152</f>
        <v>5882.5599999999995</v>
      </c>
      <c r="E154" s="348">
        <f t="shared" si="34"/>
        <v>8558</v>
      </c>
      <c r="F154" s="554">
        <f t="shared" si="34"/>
        <v>3468.0099999999998</v>
      </c>
      <c r="G154" s="554">
        <f t="shared" si="34"/>
        <v>7978.51</v>
      </c>
      <c r="H154" s="348">
        <f t="shared" si="34"/>
        <v>4149.75</v>
      </c>
      <c r="I154" s="554">
        <f t="shared" si="34"/>
        <v>10511.84</v>
      </c>
      <c r="J154" s="312">
        <f t="shared" si="33"/>
        <v>40548.67</v>
      </c>
    </row>
    <row r="155" spans="1:10" s="3" customFormat="1" ht="13.5" customHeight="1">
      <c r="A155" s="451"/>
      <c r="B155" s="455"/>
      <c r="C155" s="48" t="s">
        <v>3</v>
      </c>
      <c r="D155" s="554">
        <f t="shared" si="34"/>
        <v>6089.96</v>
      </c>
      <c r="E155" s="348">
        <f t="shared" si="34"/>
        <v>7715.81</v>
      </c>
      <c r="F155" s="554">
        <f t="shared" si="34"/>
        <v>3376.05</v>
      </c>
      <c r="G155" s="554">
        <f t="shared" si="34"/>
        <v>7775.15</v>
      </c>
      <c r="H155" s="348">
        <f t="shared" si="34"/>
        <v>4131.4</v>
      </c>
      <c r="I155" s="554">
        <f>I154+I151</f>
        <v>11533.83</v>
      </c>
      <c r="J155" s="312">
        <f t="shared" si="33"/>
        <v>40622.2</v>
      </c>
    </row>
    <row r="156" spans="1:10" s="3" customFormat="1" ht="13.5" customHeight="1" thickBot="1">
      <c r="A156" s="451"/>
      <c r="B156" s="456"/>
      <c r="C156" s="63" t="s">
        <v>175</v>
      </c>
      <c r="D156" s="349">
        <f aca="true" t="shared" si="35" ref="D156:I156">D151+D152-D153</f>
        <v>2365.3899999999985</v>
      </c>
      <c r="E156" s="558">
        <f t="shared" si="35"/>
        <v>3371.2200000000003</v>
      </c>
      <c r="F156" s="349">
        <f t="shared" si="35"/>
        <v>394.09999999999945</v>
      </c>
      <c r="G156" s="349">
        <f t="shared" si="35"/>
        <v>590.8400000000001</v>
      </c>
      <c r="H156" s="558">
        <f t="shared" si="35"/>
        <v>1063.33</v>
      </c>
      <c r="I156" s="349">
        <f t="shared" si="35"/>
        <v>1528.8600000000006</v>
      </c>
      <c r="J156" s="350">
        <f t="shared" si="33"/>
        <v>9313.739999999998</v>
      </c>
    </row>
    <row r="157" spans="1:10" s="3" customFormat="1" ht="13.5" customHeight="1">
      <c r="A157" s="433"/>
      <c r="B157" s="453" t="s">
        <v>152</v>
      </c>
      <c r="C157" s="49" t="s">
        <v>167</v>
      </c>
      <c r="D157" s="555">
        <v>5757.18</v>
      </c>
      <c r="E157" s="559">
        <v>7448.74</v>
      </c>
      <c r="F157" s="555">
        <v>1179.21</v>
      </c>
      <c r="G157" s="555">
        <v>1552.82</v>
      </c>
      <c r="H157" s="559">
        <v>2467</v>
      </c>
      <c r="I157" s="555">
        <v>3657.05</v>
      </c>
      <c r="J157" s="313">
        <f t="shared" si="33"/>
        <v>22062</v>
      </c>
    </row>
    <row r="158" spans="1:10" s="3" customFormat="1" ht="13.5" customHeight="1">
      <c r="A158" s="433"/>
      <c r="B158" s="431"/>
      <c r="C158" s="48" t="s">
        <v>1</v>
      </c>
      <c r="D158" s="554">
        <v>19227.34</v>
      </c>
      <c r="E158" s="348">
        <v>25077.81</v>
      </c>
      <c r="F158" s="554">
        <v>9795.66</v>
      </c>
      <c r="G158" s="554">
        <v>22880.5</v>
      </c>
      <c r="H158" s="348">
        <v>12967.31</v>
      </c>
      <c r="I158" s="554">
        <v>30000.97</v>
      </c>
      <c r="J158" s="312">
        <f t="shared" si="33"/>
        <v>119949.59</v>
      </c>
    </row>
    <row r="159" spans="1:10" s="3" customFormat="1" ht="13.5" customHeight="1">
      <c r="A159" s="433"/>
      <c r="B159" s="431"/>
      <c r="C159" s="50" t="s">
        <v>2</v>
      </c>
      <c r="D159" s="554">
        <v>17609.32</v>
      </c>
      <c r="E159" s="348">
        <v>22525.03</v>
      </c>
      <c r="F159" s="554">
        <v>9899.72</v>
      </c>
      <c r="G159" s="554">
        <v>22748.13</v>
      </c>
      <c r="H159" s="348">
        <v>12062.63</v>
      </c>
      <c r="I159" s="554">
        <v>29334.81</v>
      </c>
      <c r="J159" s="312">
        <f t="shared" si="33"/>
        <v>114179.64000000001</v>
      </c>
    </row>
    <row r="160" spans="1:10" s="3" customFormat="1" ht="13.5" customHeight="1">
      <c r="A160" s="433"/>
      <c r="B160" s="431"/>
      <c r="C160" s="48" t="s">
        <v>4</v>
      </c>
      <c r="D160" s="554">
        <f aca="true" t="shared" si="36" ref="D160:I161">+D158</f>
        <v>19227.34</v>
      </c>
      <c r="E160" s="348">
        <f t="shared" si="36"/>
        <v>25077.81</v>
      </c>
      <c r="F160" s="554">
        <f t="shared" si="36"/>
        <v>9795.66</v>
      </c>
      <c r="G160" s="554">
        <f t="shared" si="36"/>
        <v>22880.5</v>
      </c>
      <c r="H160" s="348">
        <f t="shared" si="36"/>
        <v>12967.31</v>
      </c>
      <c r="I160" s="554">
        <f t="shared" si="36"/>
        <v>30000.97</v>
      </c>
      <c r="J160" s="312">
        <f t="shared" si="33"/>
        <v>119949.59</v>
      </c>
    </row>
    <row r="161" spans="1:10" s="3" customFormat="1" ht="13.5" customHeight="1">
      <c r="A161" s="433"/>
      <c r="B161" s="431"/>
      <c r="C161" s="48" t="s">
        <v>3</v>
      </c>
      <c r="D161" s="554">
        <f t="shared" si="36"/>
        <v>17609.32</v>
      </c>
      <c r="E161" s="348">
        <f t="shared" si="36"/>
        <v>22525.03</v>
      </c>
      <c r="F161" s="554">
        <f t="shared" si="36"/>
        <v>9899.72</v>
      </c>
      <c r="G161" s="554">
        <f t="shared" si="36"/>
        <v>22748.13</v>
      </c>
      <c r="H161" s="348">
        <f t="shared" si="36"/>
        <v>12062.63</v>
      </c>
      <c r="I161" s="554">
        <f>I160+I157</f>
        <v>33658.020000000004</v>
      </c>
      <c r="J161" s="312">
        <f t="shared" si="33"/>
        <v>118502.85</v>
      </c>
    </row>
    <row r="162" spans="1:10" s="3" customFormat="1" ht="13.5" customHeight="1" thickBot="1">
      <c r="A162" s="433"/>
      <c r="B162" s="431"/>
      <c r="C162" s="63" t="s">
        <v>175</v>
      </c>
      <c r="D162" s="349">
        <f aca="true" t="shared" si="37" ref="D162:I162">D157+D158-D159</f>
        <v>7375.200000000001</v>
      </c>
      <c r="E162" s="558">
        <f t="shared" si="37"/>
        <v>10001.520000000004</v>
      </c>
      <c r="F162" s="349">
        <f t="shared" si="37"/>
        <v>1075.1499999999996</v>
      </c>
      <c r="G162" s="349">
        <f t="shared" si="37"/>
        <v>1685.1899999999987</v>
      </c>
      <c r="H162" s="558">
        <f t="shared" si="37"/>
        <v>3371.6800000000003</v>
      </c>
      <c r="I162" s="349">
        <f t="shared" si="37"/>
        <v>4323.210000000003</v>
      </c>
      <c r="J162" s="350">
        <f t="shared" si="33"/>
        <v>27831.950000000008</v>
      </c>
    </row>
    <row r="163" spans="1:10" s="3" customFormat="1" ht="13.5" customHeight="1">
      <c r="A163" s="451"/>
      <c r="B163" s="454" t="s">
        <v>153</v>
      </c>
      <c r="C163" s="49" t="s">
        <v>167</v>
      </c>
      <c r="D163" s="555">
        <v>1986.1</v>
      </c>
      <c r="E163" s="559">
        <v>2541.45</v>
      </c>
      <c r="F163" s="555">
        <v>401.56</v>
      </c>
      <c r="G163" s="555">
        <v>528.62</v>
      </c>
      <c r="H163" s="559">
        <v>847.8</v>
      </c>
      <c r="I163" s="555">
        <v>1244.98</v>
      </c>
      <c r="J163" s="313">
        <f t="shared" si="33"/>
        <v>7550.51</v>
      </c>
    </row>
    <row r="164" spans="1:10" s="3" customFormat="1" ht="13.5" customHeight="1">
      <c r="A164" s="451"/>
      <c r="B164" s="455"/>
      <c r="C164" s="48" t="s">
        <v>1</v>
      </c>
      <c r="D164" s="554">
        <v>6377.29</v>
      </c>
      <c r="E164" s="348">
        <v>8542.77</v>
      </c>
      <c r="F164" s="554">
        <v>3368.56</v>
      </c>
      <c r="G164" s="554">
        <v>7837.37</v>
      </c>
      <c r="H164" s="348">
        <v>4346.95</v>
      </c>
      <c r="I164" s="554">
        <v>10288.85</v>
      </c>
      <c r="J164" s="312">
        <f t="shared" si="33"/>
        <v>40761.79</v>
      </c>
    </row>
    <row r="165" spans="1:10" s="3" customFormat="1" ht="13.5" customHeight="1">
      <c r="A165" s="451"/>
      <c r="B165" s="455"/>
      <c r="C165" s="50" t="s">
        <v>2</v>
      </c>
      <c r="D165" s="554">
        <v>5998.03</v>
      </c>
      <c r="E165" s="348">
        <v>7713.02</v>
      </c>
      <c r="F165" s="554">
        <v>3376.02</v>
      </c>
      <c r="G165" s="554">
        <v>7775.14</v>
      </c>
      <c r="H165" s="348">
        <v>4131.43</v>
      </c>
      <c r="I165" s="554">
        <v>10004.97</v>
      </c>
      <c r="J165" s="312">
        <f t="shared" si="33"/>
        <v>38998.61</v>
      </c>
    </row>
    <row r="166" spans="1:10" s="3" customFormat="1" ht="13.5" customHeight="1">
      <c r="A166" s="451"/>
      <c r="B166" s="455"/>
      <c r="C166" s="48" t="s">
        <v>4</v>
      </c>
      <c r="D166" s="554">
        <f aca="true" t="shared" si="38" ref="D166:I167">+D164</f>
        <v>6377.29</v>
      </c>
      <c r="E166" s="348">
        <f t="shared" si="38"/>
        <v>8542.77</v>
      </c>
      <c r="F166" s="554">
        <f t="shared" si="38"/>
        <v>3368.56</v>
      </c>
      <c r="G166" s="554">
        <f t="shared" si="38"/>
        <v>7837.37</v>
      </c>
      <c r="H166" s="348">
        <f t="shared" si="38"/>
        <v>4346.95</v>
      </c>
      <c r="I166" s="554">
        <f t="shared" si="38"/>
        <v>10288.85</v>
      </c>
      <c r="J166" s="312">
        <f t="shared" si="33"/>
        <v>40761.79</v>
      </c>
    </row>
    <row r="167" spans="1:10" s="3" customFormat="1" ht="13.5" customHeight="1">
      <c r="A167" s="451"/>
      <c r="B167" s="455"/>
      <c r="C167" s="48" t="s">
        <v>3</v>
      </c>
      <c r="D167" s="554">
        <f t="shared" si="38"/>
        <v>5998.03</v>
      </c>
      <c r="E167" s="348">
        <f t="shared" si="38"/>
        <v>7713.02</v>
      </c>
      <c r="F167" s="554">
        <f t="shared" si="38"/>
        <v>3376.02</v>
      </c>
      <c r="G167" s="554">
        <f t="shared" si="38"/>
        <v>7775.14</v>
      </c>
      <c r="H167" s="348">
        <f t="shared" si="38"/>
        <v>4131.43</v>
      </c>
      <c r="I167" s="554">
        <f>I166+I163</f>
        <v>11533.83</v>
      </c>
      <c r="J167" s="312">
        <f t="shared" si="33"/>
        <v>40527.47</v>
      </c>
    </row>
    <row r="168" spans="1:10" s="3" customFormat="1" ht="13.5" customHeight="1" thickBot="1">
      <c r="A168" s="452"/>
      <c r="B168" s="456"/>
      <c r="C168" s="63" t="s">
        <v>175</v>
      </c>
      <c r="D168" s="349">
        <f aca="true" t="shared" si="39" ref="D168:I168">D163+D164-D165</f>
        <v>2365.3599999999997</v>
      </c>
      <c r="E168" s="558">
        <f t="shared" si="39"/>
        <v>3371.2000000000007</v>
      </c>
      <c r="F168" s="349">
        <f t="shared" si="39"/>
        <v>394.0999999999999</v>
      </c>
      <c r="G168" s="349">
        <f t="shared" si="39"/>
        <v>590.8499999999995</v>
      </c>
      <c r="H168" s="558">
        <f t="shared" si="39"/>
        <v>1063.3199999999997</v>
      </c>
      <c r="I168" s="349">
        <f t="shared" si="39"/>
        <v>1528.8600000000006</v>
      </c>
      <c r="J168" s="350">
        <f t="shared" si="33"/>
        <v>9313.689999999999</v>
      </c>
    </row>
    <row r="169" spans="1:10" s="24" customFormat="1" ht="13.5" customHeight="1" thickBot="1">
      <c r="A169" s="434" t="s">
        <v>111</v>
      </c>
      <c r="B169" s="429" t="s">
        <v>21</v>
      </c>
      <c r="C169" s="49" t="s">
        <v>167</v>
      </c>
      <c r="D169" s="555">
        <v>35606.95</v>
      </c>
      <c r="E169" s="559">
        <v>30613.79</v>
      </c>
      <c r="F169" s="555">
        <v>4645.74</v>
      </c>
      <c r="G169" s="555">
        <v>6191.53</v>
      </c>
      <c r="H169" s="559">
        <v>6693.89</v>
      </c>
      <c r="I169" s="555">
        <v>14597.62</v>
      </c>
      <c r="J169" s="313">
        <f t="shared" si="33"/>
        <v>98349.51999999999</v>
      </c>
    </row>
    <row r="170" spans="1:10" s="24" customFormat="1" ht="13.5" thickBot="1">
      <c r="A170" s="433"/>
      <c r="B170" s="429"/>
      <c r="C170" s="48" t="s">
        <v>1</v>
      </c>
      <c r="D170" s="554">
        <v>74134.03</v>
      </c>
      <c r="E170" s="348">
        <v>100374.21</v>
      </c>
      <c r="F170" s="554">
        <v>39160.18</v>
      </c>
      <c r="G170" s="554">
        <v>92088.89</v>
      </c>
      <c r="H170" s="348">
        <v>50536.24</v>
      </c>
      <c r="I170" s="554">
        <v>120897.44</v>
      </c>
      <c r="J170" s="312">
        <f t="shared" si="33"/>
        <v>477190.99</v>
      </c>
    </row>
    <row r="171" spans="1:10" s="24" customFormat="1" ht="13.5" thickBot="1">
      <c r="A171" s="433"/>
      <c r="B171" s="429"/>
      <c r="C171" s="50" t="s">
        <v>2</v>
      </c>
      <c r="D171" s="554">
        <v>71099.18</v>
      </c>
      <c r="E171" s="348">
        <v>90593.99</v>
      </c>
      <c r="F171" s="554">
        <v>39225.65</v>
      </c>
      <c r="G171" s="554">
        <v>91338.38</v>
      </c>
      <c r="H171" s="348">
        <v>47994.82</v>
      </c>
      <c r="I171" s="554">
        <v>117540.56</v>
      </c>
      <c r="J171" s="312">
        <f t="shared" si="33"/>
        <v>457792.58</v>
      </c>
    </row>
    <row r="172" spans="1:10" s="24" customFormat="1" ht="13.5" thickBot="1">
      <c r="A172" s="433"/>
      <c r="B172" s="429"/>
      <c r="C172" s="48" t="s">
        <v>4</v>
      </c>
      <c r="D172" s="568">
        <v>62973.86</v>
      </c>
      <c r="E172" s="569">
        <v>75232.51</v>
      </c>
      <c r="F172" s="568">
        <v>30089.96</v>
      </c>
      <c r="G172" s="568">
        <v>78481.69</v>
      </c>
      <c r="H172" s="569">
        <v>49303.33</v>
      </c>
      <c r="I172" s="568">
        <v>78889.7</v>
      </c>
      <c r="J172" s="323">
        <f t="shared" si="33"/>
        <v>374971.05</v>
      </c>
    </row>
    <row r="173" spans="1:10" s="24" customFormat="1" ht="13.5" thickBot="1">
      <c r="A173" s="433"/>
      <c r="B173" s="429"/>
      <c r="C173" s="48" t="s">
        <v>3</v>
      </c>
      <c r="D173" s="554">
        <f>+D171</f>
        <v>71099.18</v>
      </c>
      <c r="E173" s="348">
        <f>+E171</f>
        <v>90593.99</v>
      </c>
      <c r="F173" s="554">
        <f>F172+F169</f>
        <v>34735.7</v>
      </c>
      <c r="G173" s="554">
        <f>G172+G169</f>
        <v>84673.22</v>
      </c>
      <c r="H173" s="348">
        <f>+H171</f>
        <v>47994.82</v>
      </c>
      <c r="I173" s="554">
        <f>I172+I169</f>
        <v>93487.31999999999</v>
      </c>
      <c r="J173" s="312">
        <f t="shared" si="33"/>
        <v>422584.23</v>
      </c>
    </row>
    <row r="174" spans="1:10" s="3" customFormat="1" ht="13.5" thickBot="1">
      <c r="A174" s="433"/>
      <c r="B174" s="429"/>
      <c r="C174" s="63" t="s">
        <v>175</v>
      </c>
      <c r="D174" s="349">
        <f aca="true" t="shared" si="40" ref="D174:I174">D169+D170-D171</f>
        <v>38641.8</v>
      </c>
      <c r="E174" s="558">
        <f t="shared" si="40"/>
        <v>40394.009999999995</v>
      </c>
      <c r="F174" s="349">
        <f t="shared" si="40"/>
        <v>4580.269999999997</v>
      </c>
      <c r="G174" s="349">
        <f t="shared" si="40"/>
        <v>6942.039999999994</v>
      </c>
      <c r="H174" s="558">
        <f t="shared" si="40"/>
        <v>9235.309999999998</v>
      </c>
      <c r="I174" s="349">
        <f t="shared" si="40"/>
        <v>17954.5</v>
      </c>
      <c r="J174" s="350">
        <f t="shared" si="33"/>
        <v>117747.92999999998</v>
      </c>
    </row>
    <row r="175" spans="1:10" s="3" customFormat="1" ht="13.5" customHeight="1" hidden="1" thickBot="1">
      <c r="A175" s="433"/>
      <c r="B175" s="430" t="s">
        <v>18</v>
      </c>
      <c r="C175" s="49" t="s">
        <v>156</v>
      </c>
      <c r="D175" s="102"/>
      <c r="E175" s="103"/>
      <c r="F175" s="102"/>
      <c r="G175" s="102"/>
      <c r="H175" s="103"/>
      <c r="I175" s="102">
        <v>0.23</v>
      </c>
      <c r="J175" s="313" t="e">
        <f>I175+H175+G175+F175+#REF!+E175+D175</f>
        <v>#REF!</v>
      </c>
    </row>
    <row r="176" spans="1:10" s="3" customFormat="1" ht="13.5" customHeight="1" hidden="1" thickBot="1">
      <c r="A176" s="433"/>
      <c r="B176" s="431"/>
      <c r="C176" s="48" t="s">
        <v>1</v>
      </c>
      <c r="D176" s="94"/>
      <c r="E176" s="95"/>
      <c r="F176" s="94"/>
      <c r="G176" s="94"/>
      <c r="H176" s="95"/>
      <c r="I176" s="94">
        <v>0</v>
      </c>
      <c r="J176" s="312" t="e">
        <f>I176+H176+G176+F176+#REF!+E176+D176</f>
        <v>#REF!</v>
      </c>
    </row>
    <row r="177" spans="1:10" s="3" customFormat="1" ht="13.5" customHeight="1" hidden="1" thickBot="1">
      <c r="A177" s="433"/>
      <c r="B177" s="431"/>
      <c r="C177" s="50" t="s">
        <v>2</v>
      </c>
      <c r="D177" s="94"/>
      <c r="E177" s="95"/>
      <c r="F177" s="94"/>
      <c r="G177" s="94"/>
      <c r="H177" s="95"/>
      <c r="I177" s="94">
        <v>0</v>
      </c>
      <c r="J177" s="312" t="e">
        <f>I177+H177+G177+F177+#REF!+E177+D177</f>
        <v>#REF!</v>
      </c>
    </row>
    <row r="178" spans="1:10" s="3" customFormat="1" ht="13.5" customHeight="1" hidden="1" thickBot="1">
      <c r="A178" s="433"/>
      <c r="B178" s="431"/>
      <c r="C178" s="48" t="s">
        <v>4</v>
      </c>
      <c r="D178" s="96">
        <f aca="true" t="shared" si="41" ref="D178:I178">D176</f>
        <v>0</v>
      </c>
      <c r="E178" s="97">
        <f t="shared" si="41"/>
        <v>0</v>
      </c>
      <c r="F178" s="96">
        <f t="shared" si="41"/>
        <v>0</v>
      </c>
      <c r="G178" s="96">
        <f t="shared" si="41"/>
        <v>0</v>
      </c>
      <c r="H178" s="97">
        <f t="shared" si="41"/>
        <v>0</v>
      </c>
      <c r="I178" s="96">
        <f t="shared" si="41"/>
        <v>0</v>
      </c>
      <c r="J178" s="312" t="e">
        <f>I178+H178+G178+F178+#REF!+E178+D178</f>
        <v>#REF!</v>
      </c>
    </row>
    <row r="179" spans="1:10" s="3" customFormat="1" ht="13.5" customHeight="1" hidden="1" thickBot="1">
      <c r="A179" s="433"/>
      <c r="B179" s="431"/>
      <c r="C179" s="48" t="s">
        <v>3</v>
      </c>
      <c r="D179" s="96">
        <f aca="true" t="shared" si="42" ref="D179:I179">D176</f>
        <v>0</v>
      </c>
      <c r="E179" s="97">
        <f t="shared" si="42"/>
        <v>0</v>
      </c>
      <c r="F179" s="96">
        <f t="shared" si="42"/>
        <v>0</v>
      </c>
      <c r="G179" s="96">
        <f t="shared" si="42"/>
        <v>0</v>
      </c>
      <c r="H179" s="97">
        <f t="shared" si="42"/>
        <v>0</v>
      </c>
      <c r="I179" s="96">
        <f t="shared" si="42"/>
        <v>0</v>
      </c>
      <c r="J179" s="312" t="e">
        <f>I179+H179+G179+F179+#REF!+E179+D179</f>
        <v>#REF!</v>
      </c>
    </row>
    <row r="180" spans="1:10" s="3" customFormat="1" ht="13.5" customHeight="1" hidden="1" thickBot="1">
      <c r="A180" s="433"/>
      <c r="B180" s="432"/>
      <c r="C180" s="63" t="s">
        <v>160</v>
      </c>
      <c r="D180" s="12">
        <f aca="true" t="shared" si="43" ref="D180:I180">D175+D176-D177</f>
        <v>0</v>
      </c>
      <c r="E180" s="17">
        <f t="shared" si="43"/>
        <v>0</v>
      </c>
      <c r="F180" s="12">
        <f t="shared" si="43"/>
        <v>0</v>
      </c>
      <c r="G180" s="12">
        <f t="shared" si="43"/>
        <v>0</v>
      </c>
      <c r="H180" s="17">
        <f t="shared" si="43"/>
        <v>0</v>
      </c>
      <c r="I180" s="12">
        <f t="shared" si="43"/>
        <v>0.23</v>
      </c>
      <c r="J180" s="575" t="e">
        <f>I180+H180+G180+F180+#REF!+E180+D180</f>
        <v>#REF!</v>
      </c>
    </row>
    <row r="181" spans="1:10" s="3" customFormat="1" ht="13.5" customHeight="1" hidden="1" thickBot="1">
      <c r="A181" s="433"/>
      <c r="B181" s="430" t="s">
        <v>33</v>
      </c>
      <c r="C181" s="49" t="s">
        <v>156</v>
      </c>
      <c r="D181" s="94"/>
      <c r="E181" s="95">
        <v>0</v>
      </c>
      <c r="F181" s="94">
        <v>0</v>
      </c>
      <c r="G181" s="94"/>
      <c r="H181" s="95"/>
      <c r="I181" s="94">
        <v>0</v>
      </c>
      <c r="J181" s="312" t="e">
        <f>I181+H181+G181+F181+#REF!+E181+D181</f>
        <v>#REF!</v>
      </c>
    </row>
    <row r="182" spans="1:10" s="3" customFormat="1" ht="13.5" customHeight="1" hidden="1" thickBot="1">
      <c r="A182" s="433"/>
      <c r="B182" s="431"/>
      <c r="C182" s="48" t="s">
        <v>1</v>
      </c>
      <c r="D182" s="94"/>
      <c r="E182" s="95">
        <v>118.01</v>
      </c>
      <c r="F182" s="94">
        <v>101.3</v>
      </c>
      <c r="G182" s="94"/>
      <c r="H182" s="95"/>
      <c r="I182" s="94">
        <v>126.16</v>
      </c>
      <c r="J182" s="312" t="e">
        <f>I182+H182+G182+F182+#REF!+E182+D182</f>
        <v>#REF!</v>
      </c>
    </row>
    <row r="183" spans="1:10" s="3" customFormat="1" ht="13.5" customHeight="1" hidden="1" thickBot="1">
      <c r="A183" s="433"/>
      <c r="B183" s="431"/>
      <c r="C183" s="50" t="s">
        <v>2</v>
      </c>
      <c r="D183" s="94"/>
      <c r="E183" s="95">
        <v>111.39</v>
      </c>
      <c r="F183" s="94">
        <v>93.09</v>
      </c>
      <c r="G183" s="94"/>
      <c r="H183" s="95"/>
      <c r="I183" s="94">
        <v>99.41</v>
      </c>
      <c r="J183" s="312" t="e">
        <f>I183+H183+G183+F183+#REF!+E183+D183</f>
        <v>#REF!</v>
      </c>
    </row>
    <row r="184" spans="1:10" s="3" customFormat="1" ht="13.5" customHeight="1" hidden="1" thickBot="1">
      <c r="A184" s="433"/>
      <c r="B184" s="431"/>
      <c r="C184" s="48" t="s">
        <v>4</v>
      </c>
      <c r="D184" s="96">
        <f aca="true" t="shared" si="44" ref="D184:I184">D182</f>
        <v>0</v>
      </c>
      <c r="E184" s="97">
        <f t="shared" si="44"/>
        <v>118.01</v>
      </c>
      <c r="F184" s="96">
        <f t="shared" si="44"/>
        <v>101.3</v>
      </c>
      <c r="G184" s="96">
        <f t="shared" si="44"/>
        <v>0</v>
      </c>
      <c r="H184" s="97">
        <f t="shared" si="44"/>
        <v>0</v>
      </c>
      <c r="I184" s="96">
        <f t="shared" si="44"/>
        <v>126.16</v>
      </c>
      <c r="J184" s="312" t="e">
        <f>I184+H184+G184+F184+#REF!+E184+D184</f>
        <v>#REF!</v>
      </c>
    </row>
    <row r="185" spans="1:10" s="3" customFormat="1" ht="13.5" customHeight="1" hidden="1" thickBot="1">
      <c r="A185" s="433"/>
      <c r="B185" s="431"/>
      <c r="C185" s="48" t="s">
        <v>3</v>
      </c>
      <c r="D185" s="96">
        <f aca="true" t="shared" si="45" ref="D185:I185">D182</f>
        <v>0</v>
      </c>
      <c r="E185" s="97">
        <f t="shared" si="45"/>
        <v>118.01</v>
      </c>
      <c r="F185" s="96">
        <f t="shared" si="45"/>
        <v>101.3</v>
      </c>
      <c r="G185" s="96">
        <f t="shared" si="45"/>
        <v>0</v>
      </c>
      <c r="H185" s="97">
        <f t="shared" si="45"/>
        <v>0</v>
      </c>
      <c r="I185" s="96">
        <f t="shared" si="45"/>
        <v>126.16</v>
      </c>
      <c r="J185" s="312" t="e">
        <f>I185+H185+G185+F185+#REF!+E185+D185</f>
        <v>#REF!</v>
      </c>
    </row>
    <row r="186" spans="1:10" s="3" customFormat="1" ht="13.5" customHeight="1" hidden="1" thickBot="1">
      <c r="A186" s="433"/>
      <c r="B186" s="432"/>
      <c r="C186" s="63" t="s">
        <v>160</v>
      </c>
      <c r="D186" s="12">
        <f aca="true" t="shared" si="46" ref="D186:I186">D181+D182-D183</f>
        <v>0</v>
      </c>
      <c r="E186" s="17">
        <f t="shared" si="46"/>
        <v>6.6200000000000045</v>
      </c>
      <c r="F186" s="12">
        <f t="shared" si="46"/>
        <v>8.209999999999994</v>
      </c>
      <c r="G186" s="12">
        <f t="shared" si="46"/>
        <v>0</v>
      </c>
      <c r="H186" s="17">
        <f t="shared" si="46"/>
        <v>0</v>
      </c>
      <c r="I186" s="12">
        <f t="shared" si="46"/>
        <v>26.75</v>
      </c>
      <c r="J186" s="575" t="e">
        <f>I186+H186+G186+F186+#REF!+E186+D186</f>
        <v>#REF!</v>
      </c>
    </row>
    <row r="187" spans="1:10" s="3" customFormat="1" ht="15" customHeight="1" hidden="1" thickBot="1">
      <c r="A187" s="433"/>
      <c r="B187" s="430" t="s">
        <v>42</v>
      </c>
      <c r="C187" s="49" t="s">
        <v>156</v>
      </c>
      <c r="D187" s="94"/>
      <c r="E187" s="95">
        <v>0</v>
      </c>
      <c r="F187" s="94">
        <v>0</v>
      </c>
      <c r="G187" s="94"/>
      <c r="H187" s="95"/>
      <c r="I187" s="94">
        <v>0</v>
      </c>
      <c r="J187" s="312" t="e">
        <f>I187+H187+G187+F187+#REF!+E187+D187</f>
        <v>#REF!</v>
      </c>
    </row>
    <row r="188" spans="1:10" s="3" customFormat="1" ht="13.5" customHeight="1" hidden="1" thickBot="1">
      <c r="A188" s="433"/>
      <c r="B188" s="431"/>
      <c r="C188" s="48" t="s">
        <v>1</v>
      </c>
      <c r="D188" s="94"/>
      <c r="E188" s="95">
        <v>310.8</v>
      </c>
      <c r="F188" s="94">
        <v>263.55</v>
      </c>
      <c r="G188" s="94"/>
      <c r="H188" s="95"/>
      <c r="I188" s="94">
        <v>328.24</v>
      </c>
      <c r="J188" s="312" t="e">
        <f>I188+H188+G188+F188+#REF!+E188+D188</f>
        <v>#REF!</v>
      </c>
    </row>
    <row r="189" spans="1:10" s="3" customFormat="1" ht="13.5" customHeight="1" hidden="1" thickBot="1">
      <c r="A189" s="433"/>
      <c r="B189" s="431"/>
      <c r="C189" s="50" t="s">
        <v>2</v>
      </c>
      <c r="D189" s="94"/>
      <c r="E189" s="95">
        <v>271.64</v>
      </c>
      <c r="F189" s="94">
        <v>255.09</v>
      </c>
      <c r="G189" s="94"/>
      <c r="H189" s="95"/>
      <c r="I189" s="94">
        <v>306.64</v>
      </c>
      <c r="J189" s="312" t="e">
        <f>I189+H189+G189+F189+#REF!+E189+D189</f>
        <v>#REF!</v>
      </c>
    </row>
    <row r="190" spans="1:10" s="3" customFormat="1" ht="13.5" customHeight="1" hidden="1" thickBot="1">
      <c r="A190" s="433"/>
      <c r="B190" s="431"/>
      <c r="C190" s="48" t="s">
        <v>4</v>
      </c>
      <c r="D190" s="96">
        <f aca="true" t="shared" si="47" ref="D190:I190">D188</f>
        <v>0</v>
      </c>
      <c r="E190" s="97">
        <f t="shared" si="47"/>
        <v>310.8</v>
      </c>
      <c r="F190" s="96">
        <f t="shared" si="47"/>
        <v>263.55</v>
      </c>
      <c r="G190" s="96">
        <f t="shared" si="47"/>
        <v>0</v>
      </c>
      <c r="H190" s="97">
        <f t="shared" si="47"/>
        <v>0</v>
      </c>
      <c r="I190" s="96">
        <f t="shared" si="47"/>
        <v>328.24</v>
      </c>
      <c r="J190" s="312" t="e">
        <f>I190+H190+G190+F190+#REF!+E190+D190</f>
        <v>#REF!</v>
      </c>
    </row>
    <row r="191" spans="1:10" s="3" customFormat="1" ht="13.5" customHeight="1" hidden="1" thickBot="1">
      <c r="A191" s="433"/>
      <c r="B191" s="431"/>
      <c r="C191" s="48" t="s">
        <v>3</v>
      </c>
      <c r="D191" s="96">
        <f aca="true" t="shared" si="48" ref="D191:I191">D188</f>
        <v>0</v>
      </c>
      <c r="E191" s="97">
        <f t="shared" si="48"/>
        <v>310.8</v>
      </c>
      <c r="F191" s="96">
        <f t="shared" si="48"/>
        <v>263.55</v>
      </c>
      <c r="G191" s="96">
        <f t="shared" si="48"/>
        <v>0</v>
      </c>
      <c r="H191" s="97">
        <f t="shared" si="48"/>
        <v>0</v>
      </c>
      <c r="I191" s="96">
        <f t="shared" si="48"/>
        <v>328.24</v>
      </c>
      <c r="J191" s="312" t="e">
        <f>I191+H191+G191+F191+#REF!+E191+D191</f>
        <v>#REF!</v>
      </c>
    </row>
    <row r="192" spans="1:10" s="3" customFormat="1" ht="13.5" customHeight="1" hidden="1" thickBot="1">
      <c r="A192" s="433"/>
      <c r="B192" s="432"/>
      <c r="C192" s="63" t="s">
        <v>160</v>
      </c>
      <c r="D192" s="98">
        <f aca="true" t="shared" si="49" ref="D192:I192">D187+D188-D189</f>
        <v>0</v>
      </c>
      <c r="E192" s="99">
        <f t="shared" si="49"/>
        <v>39.160000000000025</v>
      </c>
      <c r="F192" s="98">
        <f t="shared" si="49"/>
        <v>8.460000000000008</v>
      </c>
      <c r="G192" s="98">
        <f t="shared" si="49"/>
        <v>0</v>
      </c>
      <c r="H192" s="99">
        <f t="shared" si="49"/>
        <v>0</v>
      </c>
      <c r="I192" s="98">
        <f t="shared" si="49"/>
        <v>21.600000000000023</v>
      </c>
      <c r="J192" s="576" t="e">
        <f>I192+H192+G192+F192+#REF!+E192+D192</f>
        <v>#REF!</v>
      </c>
    </row>
    <row r="193" spans="1:10" s="3" customFormat="1" ht="13.5" thickBot="1">
      <c r="A193" s="433"/>
      <c r="B193" s="429" t="s">
        <v>149</v>
      </c>
      <c r="C193" s="49" t="s">
        <v>167</v>
      </c>
      <c r="D193" s="553">
        <v>2997.76</v>
      </c>
      <c r="E193" s="562">
        <v>4259.86</v>
      </c>
      <c r="F193" s="553">
        <v>650.77</v>
      </c>
      <c r="G193" s="553">
        <v>859.25</v>
      </c>
      <c r="H193" s="562">
        <v>1313.07</v>
      </c>
      <c r="I193" s="553">
        <v>2023.37</v>
      </c>
      <c r="J193" s="311">
        <f aca="true" t="shared" si="50" ref="J193:J204">I193+H193+G193+F193+E193+D193</f>
        <v>12104.08</v>
      </c>
    </row>
    <row r="194" spans="1:10" s="3" customFormat="1" ht="13.5" thickBot="1">
      <c r="A194" s="433"/>
      <c r="B194" s="429"/>
      <c r="C194" s="48" t="s">
        <v>1</v>
      </c>
      <c r="D194" s="554">
        <v>10362.97</v>
      </c>
      <c r="E194" s="348">
        <v>13881.83</v>
      </c>
      <c r="F194" s="554">
        <v>5473.97</v>
      </c>
      <c r="G194" s="554">
        <v>12735.86</v>
      </c>
      <c r="H194" s="348">
        <v>6895.85</v>
      </c>
      <c r="I194" s="554">
        <v>16719.56</v>
      </c>
      <c r="J194" s="312">
        <f t="shared" si="50"/>
        <v>66070.04000000001</v>
      </c>
    </row>
    <row r="195" spans="1:10" s="3" customFormat="1" ht="13.5" thickBot="1">
      <c r="A195" s="433"/>
      <c r="B195" s="429"/>
      <c r="C195" s="50" t="s">
        <v>2</v>
      </c>
      <c r="D195" s="554">
        <v>9718.11</v>
      </c>
      <c r="E195" s="348">
        <v>12540.45</v>
      </c>
      <c r="F195" s="554">
        <v>5484.46</v>
      </c>
      <c r="G195" s="554">
        <v>12634.98</v>
      </c>
      <c r="H195" s="348">
        <v>6543.58</v>
      </c>
      <c r="I195" s="554">
        <v>16258.37</v>
      </c>
      <c r="J195" s="312">
        <f t="shared" si="50"/>
        <v>63179.95</v>
      </c>
    </row>
    <row r="196" spans="1:10" s="3" customFormat="1" ht="13.5" thickBot="1">
      <c r="A196" s="433"/>
      <c r="B196" s="429"/>
      <c r="C196" s="48" t="s">
        <v>4</v>
      </c>
      <c r="D196" s="554">
        <f aca="true" t="shared" si="51" ref="D196:I197">+D194</f>
        <v>10362.97</v>
      </c>
      <c r="E196" s="348">
        <f t="shared" si="51"/>
        <v>13881.83</v>
      </c>
      <c r="F196" s="554">
        <f t="shared" si="51"/>
        <v>5473.97</v>
      </c>
      <c r="G196" s="554">
        <f t="shared" si="51"/>
        <v>12735.86</v>
      </c>
      <c r="H196" s="348">
        <f t="shared" si="51"/>
        <v>6895.85</v>
      </c>
      <c r="I196" s="554">
        <f t="shared" si="51"/>
        <v>16719.56</v>
      </c>
      <c r="J196" s="312">
        <f t="shared" si="50"/>
        <v>66070.04000000001</v>
      </c>
    </row>
    <row r="197" spans="1:10" s="3" customFormat="1" ht="13.5" thickBot="1">
      <c r="A197" s="433"/>
      <c r="B197" s="429"/>
      <c r="C197" s="48" t="s">
        <v>3</v>
      </c>
      <c r="D197" s="554">
        <f t="shared" si="51"/>
        <v>9718.11</v>
      </c>
      <c r="E197" s="348">
        <f t="shared" si="51"/>
        <v>12540.45</v>
      </c>
      <c r="F197" s="554">
        <f t="shared" si="51"/>
        <v>5484.46</v>
      </c>
      <c r="G197" s="554">
        <f t="shared" si="51"/>
        <v>12634.98</v>
      </c>
      <c r="H197" s="348">
        <f t="shared" si="51"/>
        <v>6543.58</v>
      </c>
      <c r="I197" s="554">
        <f>I196+I193</f>
        <v>18742.93</v>
      </c>
      <c r="J197" s="312">
        <f t="shared" si="50"/>
        <v>65664.51000000001</v>
      </c>
    </row>
    <row r="198" spans="1:10" s="3" customFormat="1" ht="13.5" thickBot="1">
      <c r="A198" s="435"/>
      <c r="B198" s="429"/>
      <c r="C198" s="63" t="s">
        <v>175</v>
      </c>
      <c r="D198" s="349">
        <f aca="true" t="shared" si="52" ref="D198:I198">D193+D194-D195</f>
        <v>3642.619999999999</v>
      </c>
      <c r="E198" s="558">
        <f t="shared" si="52"/>
        <v>5601.239999999998</v>
      </c>
      <c r="F198" s="349">
        <f t="shared" si="52"/>
        <v>640.2799999999997</v>
      </c>
      <c r="G198" s="349">
        <f t="shared" si="52"/>
        <v>960.130000000001</v>
      </c>
      <c r="H198" s="558">
        <f t="shared" si="52"/>
        <v>1665.3400000000001</v>
      </c>
      <c r="I198" s="349">
        <f t="shared" si="52"/>
        <v>2484.5599999999995</v>
      </c>
      <c r="J198" s="350">
        <f t="shared" si="50"/>
        <v>14994.169999999998</v>
      </c>
    </row>
    <row r="199" spans="1:10" s="24" customFormat="1" ht="12.75" customHeight="1" thickBot="1">
      <c r="A199" s="434" t="s">
        <v>118</v>
      </c>
      <c r="B199" s="429" t="s">
        <v>41</v>
      </c>
      <c r="C199" s="49" t="s">
        <v>167</v>
      </c>
      <c r="D199" s="555">
        <v>115922.65</v>
      </c>
      <c r="E199" s="559">
        <v>207280.35</v>
      </c>
      <c r="F199" s="555">
        <v>23098.51</v>
      </c>
      <c r="G199" s="555">
        <v>36749.89</v>
      </c>
      <c r="H199" s="559">
        <f>2365.76+48220.66</f>
        <v>50586.420000000006</v>
      </c>
      <c r="I199" s="555">
        <f>29933.75-8300.91</f>
        <v>21632.84</v>
      </c>
      <c r="J199" s="313">
        <f t="shared" si="50"/>
        <v>455270.66000000003</v>
      </c>
    </row>
    <row r="200" spans="1:10" s="24" customFormat="1" ht="13.5" thickBot="1">
      <c r="A200" s="433"/>
      <c r="B200" s="429"/>
      <c r="C200" s="48" t="s">
        <v>1</v>
      </c>
      <c r="D200" s="554">
        <v>415343.35</v>
      </c>
      <c r="E200" s="348">
        <v>705945.04</v>
      </c>
      <c r="F200" s="554">
        <v>196499.19</v>
      </c>
      <c r="G200" s="554">
        <v>677702.45</v>
      </c>
      <c r="H200" s="348">
        <f>-2365.76+278646.38</f>
        <v>276280.62</v>
      </c>
      <c r="I200" s="554">
        <f>414728.09+146.88</f>
        <v>414874.97000000003</v>
      </c>
      <c r="J200" s="312">
        <f t="shared" si="50"/>
        <v>2686645.62</v>
      </c>
    </row>
    <row r="201" spans="1:10" s="24" customFormat="1" ht="13.5" thickBot="1">
      <c r="A201" s="433"/>
      <c r="B201" s="429"/>
      <c r="C201" s="50" t="s">
        <v>2</v>
      </c>
      <c r="D201" s="554">
        <v>378771.79</v>
      </c>
      <c r="E201" s="348">
        <v>557613.9</v>
      </c>
      <c r="F201" s="554">
        <v>192475.24</v>
      </c>
      <c r="G201" s="554">
        <v>665204.98</v>
      </c>
      <c r="H201" s="348">
        <v>250626.05</v>
      </c>
      <c r="I201" s="554">
        <v>416192</v>
      </c>
      <c r="J201" s="312">
        <f t="shared" si="50"/>
        <v>2460883.96</v>
      </c>
    </row>
    <row r="202" spans="1:10" s="24" customFormat="1" ht="13.5" thickBot="1">
      <c r="A202" s="433"/>
      <c r="B202" s="429"/>
      <c r="C202" s="48" t="s">
        <v>4</v>
      </c>
      <c r="D202" s="554">
        <f aca="true" t="shared" si="53" ref="D202:I203">+D200</f>
        <v>415343.35</v>
      </c>
      <c r="E202" s="348">
        <f t="shared" si="53"/>
        <v>705945.04</v>
      </c>
      <c r="F202" s="554">
        <f t="shared" si="53"/>
        <v>196499.19</v>
      </c>
      <c r="G202" s="554">
        <f t="shared" si="53"/>
        <v>677702.45</v>
      </c>
      <c r="H202" s="348">
        <f t="shared" si="53"/>
        <v>276280.62</v>
      </c>
      <c r="I202" s="554">
        <f t="shared" si="53"/>
        <v>414874.97000000003</v>
      </c>
      <c r="J202" s="312">
        <f t="shared" si="50"/>
        <v>2686645.62</v>
      </c>
    </row>
    <row r="203" spans="1:10" s="24" customFormat="1" ht="13.5" thickBot="1">
      <c r="A203" s="433"/>
      <c r="B203" s="429"/>
      <c r="C203" s="48" t="s">
        <v>3</v>
      </c>
      <c r="D203" s="554">
        <f t="shared" si="53"/>
        <v>378771.79</v>
      </c>
      <c r="E203" s="348">
        <f t="shared" si="53"/>
        <v>557613.9</v>
      </c>
      <c r="F203" s="554">
        <f t="shared" si="53"/>
        <v>192475.24</v>
      </c>
      <c r="G203" s="554">
        <f>G202+G199</f>
        <v>714452.34</v>
      </c>
      <c r="H203" s="348">
        <f t="shared" si="53"/>
        <v>250626.05</v>
      </c>
      <c r="I203" s="554">
        <f>I202+I199</f>
        <v>436507.81000000006</v>
      </c>
      <c r="J203" s="312">
        <f t="shared" si="50"/>
        <v>2530447.1300000004</v>
      </c>
    </row>
    <row r="204" spans="1:10" s="3" customFormat="1" ht="13.5" thickBot="1">
      <c r="A204" s="435"/>
      <c r="B204" s="429"/>
      <c r="C204" s="63" t="s">
        <v>175</v>
      </c>
      <c r="D204" s="349">
        <f aca="true" t="shared" si="54" ref="D204:I204">D199+D200-D201</f>
        <v>152494.21000000002</v>
      </c>
      <c r="E204" s="558">
        <f t="shared" si="54"/>
        <v>355611.49</v>
      </c>
      <c r="F204" s="349">
        <f t="shared" si="54"/>
        <v>27122.46000000002</v>
      </c>
      <c r="G204" s="349">
        <f t="shared" si="54"/>
        <v>49247.359999999986</v>
      </c>
      <c r="H204" s="558">
        <f t="shared" si="54"/>
        <v>76240.98999999999</v>
      </c>
      <c r="I204" s="349">
        <f t="shared" si="54"/>
        <v>20315.810000000056</v>
      </c>
      <c r="J204" s="350">
        <f t="shared" si="50"/>
        <v>681032.3200000001</v>
      </c>
    </row>
    <row r="205" spans="1:10" s="24" customFormat="1" ht="12.75">
      <c r="A205" s="393" t="s">
        <v>189</v>
      </c>
      <c r="B205" s="393"/>
      <c r="C205" s="376"/>
      <c r="D205" s="314"/>
      <c r="E205" s="564"/>
      <c r="F205" s="314"/>
      <c r="G205" s="314"/>
      <c r="H205" s="564"/>
      <c r="I205" s="314"/>
      <c r="J205" s="314"/>
    </row>
    <row r="206" spans="1:10" s="24" customFormat="1" ht="13.5" thickBot="1">
      <c r="A206" s="426"/>
      <c r="B206" s="426"/>
      <c r="C206" s="339" t="s">
        <v>167</v>
      </c>
      <c r="D206" s="315">
        <f aca="true" t="shared" si="55" ref="D206:D211">D109+D115+D121+D151+D157+D163+D169+D193+D199</f>
        <v>448614.51</v>
      </c>
      <c r="E206" s="565">
        <f aca="true" t="shared" si="56" ref="E206:J206">E109+E115+E121+E151+E157+E163+E169+E193+E199</f>
        <v>517797.07000000007</v>
      </c>
      <c r="F206" s="315">
        <f t="shared" si="56"/>
        <v>74553.69999999998</v>
      </c>
      <c r="G206" s="315">
        <f t="shared" si="56"/>
        <v>103957.00000000001</v>
      </c>
      <c r="H206" s="565">
        <f t="shared" si="56"/>
        <v>145201.9</v>
      </c>
      <c r="I206" s="315">
        <f t="shared" si="56"/>
        <v>156572.08000000002</v>
      </c>
      <c r="J206" s="315">
        <f t="shared" si="56"/>
        <v>1446696.26</v>
      </c>
    </row>
    <row r="207" spans="1:10" s="24" customFormat="1" ht="13.5" thickBot="1">
      <c r="A207" s="427"/>
      <c r="B207" s="427"/>
      <c r="C207" s="338" t="s">
        <v>1</v>
      </c>
      <c r="D207" s="315">
        <f t="shared" si="55"/>
        <v>1237592.48</v>
      </c>
      <c r="E207" s="565">
        <f aca="true" t="shared" si="57" ref="E207:J207">E110+E116+E122+E152+E158+E164+E170+E194+E200</f>
        <v>1719644.08</v>
      </c>
      <c r="F207" s="315">
        <f t="shared" si="57"/>
        <v>630841.1199999999</v>
      </c>
      <c r="G207" s="315">
        <f t="shared" si="57"/>
        <v>1680577.0699999998</v>
      </c>
      <c r="H207" s="565">
        <f t="shared" si="57"/>
        <v>834737.16</v>
      </c>
      <c r="I207" s="315">
        <f t="shared" si="57"/>
        <v>1640117.58</v>
      </c>
      <c r="J207" s="315">
        <f t="shared" si="57"/>
        <v>7743509.49</v>
      </c>
    </row>
    <row r="208" spans="1:10" s="24" customFormat="1" ht="13.5" thickBot="1">
      <c r="A208" s="427"/>
      <c r="B208" s="427"/>
      <c r="C208" s="338" t="s">
        <v>2</v>
      </c>
      <c r="D208" s="315">
        <f t="shared" si="55"/>
        <v>1160397.22</v>
      </c>
      <c r="E208" s="565">
        <f aca="true" t="shared" si="58" ref="E208:J208">E111+E117+E123+E153+E159+E165+E171+E195+E201</f>
        <v>1474462.84</v>
      </c>
      <c r="F208" s="315">
        <f t="shared" si="58"/>
        <v>627552.12</v>
      </c>
      <c r="G208" s="315">
        <f t="shared" si="58"/>
        <v>1659770.07</v>
      </c>
      <c r="H208" s="565">
        <f t="shared" si="58"/>
        <v>780894.8400000001</v>
      </c>
      <c r="I208" s="315">
        <f t="shared" si="58"/>
        <v>1584462.86</v>
      </c>
      <c r="J208" s="315">
        <f t="shared" si="58"/>
        <v>7287539.95</v>
      </c>
    </row>
    <row r="209" spans="1:10" s="24" customFormat="1" ht="13.5" thickBot="1">
      <c r="A209" s="427"/>
      <c r="B209" s="427"/>
      <c r="C209" s="338" t="s">
        <v>4</v>
      </c>
      <c r="D209" s="315">
        <f t="shared" si="55"/>
        <v>1154170.6099999999</v>
      </c>
      <c r="E209" s="565">
        <f aca="true" t="shared" si="59" ref="E209:J209">E112+E118+E124+E154+E160+E166+E172+E196+E202</f>
        <v>1573665.77</v>
      </c>
      <c r="F209" s="315">
        <f t="shared" si="59"/>
        <v>652089.28</v>
      </c>
      <c r="G209" s="315">
        <f t="shared" si="59"/>
        <v>1498737.9900000002</v>
      </c>
      <c r="H209" s="565">
        <f t="shared" si="59"/>
        <v>759662.55</v>
      </c>
      <c r="I209" s="315">
        <f t="shared" si="59"/>
        <v>1213268.8</v>
      </c>
      <c r="J209" s="315">
        <f t="shared" si="59"/>
        <v>6851595</v>
      </c>
    </row>
    <row r="210" spans="1:10" s="24" customFormat="1" ht="13.5" thickBot="1">
      <c r="A210" s="427"/>
      <c r="B210" s="427"/>
      <c r="C210" s="338" t="s">
        <v>3</v>
      </c>
      <c r="D210" s="315">
        <f t="shared" si="55"/>
        <v>1160397.22</v>
      </c>
      <c r="E210" s="565">
        <f aca="true" t="shared" si="60" ref="E210:J210">E113+E119+E125+E155+E161+E167+E173+E197+E203</f>
        <v>1474462.84</v>
      </c>
      <c r="F210" s="315">
        <f t="shared" si="60"/>
        <v>623062.1699999999</v>
      </c>
      <c r="G210" s="315">
        <f t="shared" si="60"/>
        <v>1598867.98</v>
      </c>
      <c r="H210" s="565">
        <f t="shared" si="60"/>
        <v>780894.8400000001</v>
      </c>
      <c r="I210" s="315">
        <f t="shared" si="60"/>
        <v>1369840.88</v>
      </c>
      <c r="J210" s="315">
        <f t="shared" si="60"/>
        <v>7007525.930000002</v>
      </c>
    </row>
    <row r="211" spans="1:10" s="3" customFormat="1" ht="13.5" thickBot="1">
      <c r="A211" s="427"/>
      <c r="B211" s="427"/>
      <c r="C211" s="346" t="s">
        <v>175</v>
      </c>
      <c r="D211" s="316">
        <f t="shared" si="55"/>
        <v>525809.77</v>
      </c>
      <c r="E211" s="566">
        <f aca="true" t="shared" si="61" ref="E211:J211">E114+E120+E126+E156+E162+E168+E174+E198+E204</f>
        <v>762978.31</v>
      </c>
      <c r="F211" s="316">
        <f t="shared" si="61"/>
        <v>77842.70000000003</v>
      </c>
      <c r="G211" s="316">
        <f t="shared" si="61"/>
        <v>124763.9999999999</v>
      </c>
      <c r="H211" s="566">
        <f t="shared" si="61"/>
        <v>199044.21999999994</v>
      </c>
      <c r="I211" s="316">
        <f t="shared" si="61"/>
        <v>212226.80000000016</v>
      </c>
      <c r="J211" s="316">
        <f t="shared" si="61"/>
        <v>1902665.7999999998</v>
      </c>
    </row>
    <row r="212" spans="1:10" s="3" customFormat="1" ht="13.5" thickBot="1">
      <c r="A212" s="428" t="s">
        <v>29</v>
      </c>
      <c r="B212" s="429" t="s">
        <v>30</v>
      </c>
      <c r="C212" s="49" t="s">
        <v>167</v>
      </c>
      <c r="D212" s="555"/>
      <c r="E212" s="559">
        <v>69654.78</v>
      </c>
      <c r="F212" s="555"/>
      <c r="G212" s="555">
        <v>9343.1</v>
      </c>
      <c r="H212" s="559"/>
      <c r="I212" s="555">
        <v>31084.96</v>
      </c>
      <c r="J212" s="313">
        <f aca="true" t="shared" si="62" ref="J212:J241">I212+H212+G212+F212+E212+D212</f>
        <v>110082.84</v>
      </c>
    </row>
    <row r="213" spans="1:10" s="3" customFormat="1" ht="13.5" thickBot="1">
      <c r="A213" s="428"/>
      <c r="B213" s="429"/>
      <c r="C213" s="48" t="s">
        <v>1</v>
      </c>
      <c r="D213" s="554"/>
      <c r="E213" s="586">
        <v>236885.02</v>
      </c>
      <c r="F213" s="554"/>
      <c r="G213" s="554">
        <v>201544.76</v>
      </c>
      <c r="H213" s="348"/>
      <c r="I213" s="554">
        <v>252291.81</v>
      </c>
      <c r="J213" s="312">
        <f t="shared" si="62"/>
        <v>690721.59</v>
      </c>
    </row>
    <row r="214" spans="1:10" s="3" customFormat="1" ht="13.5" thickBot="1">
      <c r="A214" s="428"/>
      <c r="B214" s="429"/>
      <c r="C214" s="50" t="s">
        <v>2</v>
      </c>
      <c r="D214" s="554"/>
      <c r="E214" s="562">
        <v>220487.73</v>
      </c>
      <c r="F214" s="554"/>
      <c r="G214" s="554">
        <v>196954.35</v>
      </c>
      <c r="H214" s="348"/>
      <c r="I214" s="554">
        <v>242869.06</v>
      </c>
      <c r="J214" s="312">
        <f t="shared" si="62"/>
        <v>660311.14</v>
      </c>
    </row>
    <row r="215" spans="1:10" s="3" customFormat="1" ht="13.5" thickBot="1">
      <c r="A215" s="428"/>
      <c r="B215" s="429"/>
      <c r="C215" s="48" t="s">
        <v>4</v>
      </c>
      <c r="D215" s="554"/>
      <c r="E215" s="348">
        <f>+E213</f>
        <v>236885.02</v>
      </c>
      <c r="F215" s="554"/>
      <c r="G215" s="554">
        <f>+G213</f>
        <v>201544.76</v>
      </c>
      <c r="H215" s="348"/>
      <c r="I215" s="554">
        <f>+I213</f>
        <v>252291.81</v>
      </c>
      <c r="J215" s="312">
        <f t="shared" si="62"/>
        <v>690721.59</v>
      </c>
    </row>
    <row r="216" spans="1:10" s="3" customFormat="1" ht="13.5" thickBot="1">
      <c r="A216" s="428"/>
      <c r="B216" s="429"/>
      <c r="C216" s="48" t="s">
        <v>3</v>
      </c>
      <c r="D216" s="554"/>
      <c r="E216" s="348">
        <f>+E214</f>
        <v>220487.73</v>
      </c>
      <c r="F216" s="554"/>
      <c r="G216" s="554">
        <f>+G214</f>
        <v>196954.35</v>
      </c>
      <c r="H216" s="348"/>
      <c r="I216" s="554">
        <f>+I214</f>
        <v>242869.06</v>
      </c>
      <c r="J216" s="312">
        <f t="shared" si="62"/>
        <v>660311.14</v>
      </c>
    </row>
    <row r="217" spans="1:10" s="3" customFormat="1" ht="13.5" thickBot="1">
      <c r="A217" s="428"/>
      <c r="B217" s="429"/>
      <c r="C217" s="63" t="s">
        <v>175</v>
      </c>
      <c r="D217" s="349"/>
      <c r="E217" s="558">
        <f>E212+E213-E214</f>
        <v>86052.06999999998</v>
      </c>
      <c r="F217" s="349"/>
      <c r="G217" s="349">
        <f>G212+G213-G214</f>
        <v>13933.51000000001</v>
      </c>
      <c r="H217" s="558"/>
      <c r="I217" s="349">
        <f>I212+I213-I214</f>
        <v>40507.71000000002</v>
      </c>
      <c r="J217" s="350">
        <f t="shared" si="62"/>
        <v>140493.29</v>
      </c>
    </row>
    <row r="218" spans="1:10" s="3" customFormat="1" ht="13.5" customHeight="1" thickBot="1">
      <c r="A218" s="428" t="s">
        <v>25</v>
      </c>
      <c r="B218" s="430" t="s">
        <v>30</v>
      </c>
      <c r="C218" s="49" t="s">
        <v>167</v>
      </c>
      <c r="D218" s="555"/>
      <c r="E218" s="581">
        <v>413.42</v>
      </c>
      <c r="F218" s="559"/>
      <c r="G218" s="555">
        <v>55.46</v>
      </c>
      <c r="H218" s="559"/>
      <c r="I218" s="555">
        <v>186.8</v>
      </c>
      <c r="J218" s="313">
        <f t="shared" si="62"/>
        <v>655.6800000000001</v>
      </c>
    </row>
    <row r="219" spans="1:10" s="3" customFormat="1" ht="13.5" thickBot="1">
      <c r="A219" s="428"/>
      <c r="B219" s="431"/>
      <c r="C219" s="48" t="s">
        <v>1</v>
      </c>
      <c r="D219" s="554"/>
      <c r="E219" s="580">
        <v>1391.11</v>
      </c>
      <c r="F219" s="348"/>
      <c r="G219" s="554">
        <v>1183.65</v>
      </c>
      <c r="H219" s="348"/>
      <c r="I219" s="554">
        <v>1481.76</v>
      </c>
      <c r="J219" s="312">
        <f t="shared" si="62"/>
        <v>4056.5199999999995</v>
      </c>
    </row>
    <row r="220" spans="1:10" s="3" customFormat="1" ht="13.5" thickBot="1">
      <c r="A220" s="428"/>
      <c r="B220" s="431"/>
      <c r="C220" s="50" t="s">
        <v>2</v>
      </c>
      <c r="D220" s="554"/>
      <c r="E220" s="580">
        <v>1294.4</v>
      </c>
      <c r="F220" s="348"/>
      <c r="G220" s="554">
        <v>1156.32</v>
      </c>
      <c r="H220" s="348"/>
      <c r="I220" s="554">
        <v>1425.9</v>
      </c>
      <c r="J220" s="312">
        <f t="shared" si="62"/>
        <v>3876.6200000000003</v>
      </c>
    </row>
    <row r="221" spans="1:10" s="3" customFormat="1" ht="13.5" thickBot="1">
      <c r="A221" s="428"/>
      <c r="B221" s="431"/>
      <c r="C221" s="48" t="s">
        <v>4</v>
      </c>
      <c r="D221" s="554"/>
      <c r="E221" s="580">
        <f>+E219</f>
        <v>1391.11</v>
      </c>
      <c r="F221" s="348"/>
      <c r="G221" s="554">
        <f>+G219</f>
        <v>1183.65</v>
      </c>
      <c r="H221" s="348"/>
      <c r="I221" s="554">
        <f>+I219</f>
        <v>1481.76</v>
      </c>
      <c r="J221" s="312">
        <f t="shared" si="62"/>
        <v>4056.5199999999995</v>
      </c>
    </row>
    <row r="222" spans="1:10" s="3" customFormat="1" ht="13.5" thickBot="1">
      <c r="A222" s="428"/>
      <c r="B222" s="431"/>
      <c r="C222" s="48" t="s">
        <v>3</v>
      </c>
      <c r="D222" s="554"/>
      <c r="E222" s="580">
        <f>+E220</f>
        <v>1294.4</v>
      </c>
      <c r="F222" s="348"/>
      <c r="G222" s="554">
        <f>+G220</f>
        <v>1156.32</v>
      </c>
      <c r="H222" s="348"/>
      <c r="I222" s="554">
        <f>+I220</f>
        <v>1425.9</v>
      </c>
      <c r="J222" s="312">
        <f t="shared" si="62"/>
        <v>3876.6200000000003</v>
      </c>
    </row>
    <row r="223" spans="1:10" s="3" customFormat="1" ht="13.5" thickBot="1">
      <c r="A223" s="428"/>
      <c r="B223" s="432"/>
      <c r="C223" s="63" t="s">
        <v>175</v>
      </c>
      <c r="D223" s="349"/>
      <c r="E223" s="570">
        <f>E218+E219-E220</f>
        <v>510.1299999999999</v>
      </c>
      <c r="F223" s="558"/>
      <c r="G223" s="349">
        <f>G218+G219-G220</f>
        <v>82.79000000000019</v>
      </c>
      <c r="H223" s="558"/>
      <c r="I223" s="349">
        <f>I218+I219-I220</f>
        <v>242.65999999999985</v>
      </c>
      <c r="J223" s="350">
        <f t="shared" si="62"/>
        <v>835.5799999999999</v>
      </c>
    </row>
    <row r="224" spans="1:10" s="3" customFormat="1" ht="13.5" thickBot="1">
      <c r="A224" s="428" t="s">
        <v>31</v>
      </c>
      <c r="B224" s="430" t="s">
        <v>30</v>
      </c>
      <c r="C224" s="49" t="s">
        <v>167</v>
      </c>
      <c r="D224" s="555"/>
      <c r="E224" s="581">
        <v>17413.44</v>
      </c>
      <c r="F224" s="559"/>
      <c r="G224" s="555">
        <v>2130.26</v>
      </c>
      <c r="H224" s="559"/>
      <c r="I224" s="555">
        <v>7617.54</v>
      </c>
      <c r="J224" s="313">
        <f t="shared" si="62"/>
        <v>27161.239999999998</v>
      </c>
    </row>
    <row r="225" spans="1:10" s="3" customFormat="1" ht="13.5" thickBot="1">
      <c r="A225" s="428"/>
      <c r="B225" s="431"/>
      <c r="C225" s="48" t="s">
        <v>1</v>
      </c>
      <c r="D225" s="554"/>
      <c r="E225" s="580">
        <v>59564.27</v>
      </c>
      <c r="F225" s="348"/>
      <c r="G225" s="554">
        <v>50720.03</v>
      </c>
      <c r="H225" s="348"/>
      <c r="I225" s="554">
        <v>63549.27</v>
      </c>
      <c r="J225" s="312">
        <f t="shared" si="62"/>
        <v>173833.56999999998</v>
      </c>
    </row>
    <row r="226" spans="1:10" s="3" customFormat="1" ht="13.5" thickBot="1">
      <c r="A226" s="428"/>
      <c r="B226" s="431"/>
      <c r="C226" s="50" t="s">
        <v>2</v>
      </c>
      <c r="D226" s="554"/>
      <c r="E226" s="580">
        <v>55229.8</v>
      </c>
      <c r="F226" s="348"/>
      <c r="G226" s="554">
        <v>49335.09</v>
      </c>
      <c r="H226" s="348"/>
      <c r="I226" s="554">
        <v>60836.11</v>
      </c>
      <c r="J226" s="312">
        <f t="shared" si="62"/>
        <v>165401</v>
      </c>
    </row>
    <row r="227" spans="1:10" s="3" customFormat="1" ht="13.5" thickBot="1">
      <c r="A227" s="428"/>
      <c r="B227" s="431"/>
      <c r="C227" s="48" t="s">
        <v>4</v>
      </c>
      <c r="D227" s="554"/>
      <c r="E227" s="580">
        <f>+E225</f>
        <v>59564.27</v>
      </c>
      <c r="F227" s="348"/>
      <c r="G227" s="554">
        <f>+G225</f>
        <v>50720.03</v>
      </c>
      <c r="H227" s="348"/>
      <c r="I227" s="554">
        <f>+I225</f>
        <v>63549.27</v>
      </c>
      <c r="J227" s="312">
        <f t="shared" si="62"/>
        <v>173833.56999999998</v>
      </c>
    </row>
    <row r="228" spans="1:10" s="3" customFormat="1" ht="13.5" thickBot="1">
      <c r="A228" s="428"/>
      <c r="B228" s="431"/>
      <c r="C228" s="48" t="s">
        <v>3</v>
      </c>
      <c r="D228" s="554"/>
      <c r="E228" s="580">
        <f>+E226</f>
        <v>55229.8</v>
      </c>
      <c r="F228" s="348"/>
      <c r="G228" s="554">
        <f>+G226</f>
        <v>49335.09</v>
      </c>
      <c r="H228" s="348"/>
      <c r="I228" s="554">
        <f>+I226</f>
        <v>60836.11</v>
      </c>
      <c r="J228" s="312">
        <f t="shared" si="62"/>
        <v>165401</v>
      </c>
    </row>
    <row r="229" spans="1:10" s="3" customFormat="1" ht="13.5" thickBot="1">
      <c r="A229" s="428"/>
      <c r="B229" s="432"/>
      <c r="C229" s="63" t="s">
        <v>175</v>
      </c>
      <c r="D229" s="349"/>
      <c r="E229" s="570">
        <f>E224+E225-E226</f>
        <v>21747.90999999999</v>
      </c>
      <c r="F229" s="558"/>
      <c r="G229" s="349">
        <f>G224+G225-G226</f>
        <v>3515.2000000000044</v>
      </c>
      <c r="H229" s="558"/>
      <c r="I229" s="349">
        <f>I224+I225-I226</f>
        <v>10330.699999999997</v>
      </c>
      <c r="J229" s="350">
        <f t="shared" si="62"/>
        <v>35593.80999999999</v>
      </c>
    </row>
    <row r="230" spans="1:10" s="3" customFormat="1" ht="15.75" customHeight="1">
      <c r="A230" s="433" t="s">
        <v>103</v>
      </c>
      <c r="B230" s="430" t="s">
        <v>102</v>
      </c>
      <c r="C230" s="49" t="s">
        <v>167</v>
      </c>
      <c r="D230" s="556"/>
      <c r="E230" s="582">
        <v>7595.88</v>
      </c>
      <c r="F230" s="560"/>
      <c r="G230" s="556"/>
      <c r="H230" s="560"/>
      <c r="I230" s="556"/>
      <c r="J230" s="313">
        <f t="shared" si="62"/>
        <v>7595.88</v>
      </c>
    </row>
    <row r="231" spans="1:10" s="3" customFormat="1" ht="12.75">
      <c r="A231" s="433"/>
      <c r="B231" s="431"/>
      <c r="C231" s="48" t="s">
        <v>1</v>
      </c>
      <c r="D231" s="557"/>
      <c r="E231" s="583">
        <v>0</v>
      </c>
      <c r="F231" s="561"/>
      <c r="G231" s="557"/>
      <c r="H231" s="561"/>
      <c r="I231" s="557"/>
      <c r="J231" s="312">
        <f t="shared" si="62"/>
        <v>0</v>
      </c>
    </row>
    <row r="232" spans="1:10" s="3" customFormat="1" ht="12.75">
      <c r="A232" s="433"/>
      <c r="B232" s="431"/>
      <c r="C232" s="50" t="s">
        <v>2</v>
      </c>
      <c r="D232" s="557"/>
      <c r="E232" s="583">
        <v>2548.42</v>
      </c>
      <c r="F232" s="561"/>
      <c r="G232" s="557"/>
      <c r="H232" s="561"/>
      <c r="I232" s="557"/>
      <c r="J232" s="312">
        <f t="shared" si="62"/>
        <v>2548.42</v>
      </c>
    </row>
    <row r="233" spans="1:10" s="3" customFormat="1" ht="12.75">
      <c r="A233" s="433"/>
      <c r="B233" s="431"/>
      <c r="C233" s="48" t="s">
        <v>4</v>
      </c>
      <c r="D233" s="554"/>
      <c r="E233" s="580">
        <f>+E231</f>
        <v>0</v>
      </c>
      <c r="F233" s="348"/>
      <c r="G233" s="554"/>
      <c r="H233" s="348"/>
      <c r="I233" s="554"/>
      <c r="J233" s="312">
        <f t="shared" si="62"/>
        <v>0</v>
      </c>
    </row>
    <row r="234" spans="1:10" s="3" customFormat="1" ht="12.75">
      <c r="A234" s="433"/>
      <c r="B234" s="431"/>
      <c r="C234" s="48" t="s">
        <v>3</v>
      </c>
      <c r="D234" s="554"/>
      <c r="E234" s="580">
        <f>+E232</f>
        <v>2548.42</v>
      </c>
      <c r="F234" s="348"/>
      <c r="G234" s="554"/>
      <c r="H234" s="348"/>
      <c r="I234" s="554"/>
      <c r="J234" s="312">
        <f t="shared" si="62"/>
        <v>2548.42</v>
      </c>
    </row>
    <row r="235" spans="1:10" s="3" customFormat="1" ht="13.5" thickBot="1">
      <c r="A235" s="435"/>
      <c r="B235" s="432"/>
      <c r="C235" s="63" t="s">
        <v>175</v>
      </c>
      <c r="D235" s="349"/>
      <c r="E235" s="570">
        <f>E230+E231-E232</f>
        <v>5047.46</v>
      </c>
      <c r="F235" s="558"/>
      <c r="G235" s="349"/>
      <c r="H235" s="558">
        <f>H230+H231-H232</f>
        <v>0</v>
      </c>
      <c r="I235" s="349"/>
      <c r="J235" s="350">
        <f t="shared" si="62"/>
        <v>5047.46</v>
      </c>
    </row>
    <row r="236" spans="1:10" s="24" customFormat="1" ht="13.5" customHeight="1" thickBot="1">
      <c r="A236" s="434" t="s">
        <v>110</v>
      </c>
      <c r="B236" s="429" t="s">
        <v>24</v>
      </c>
      <c r="C236" s="49" t="s">
        <v>167</v>
      </c>
      <c r="D236" s="555">
        <v>2013.08</v>
      </c>
      <c r="E236" s="581">
        <f>-47.06+5609.29</f>
        <v>5562.23</v>
      </c>
      <c r="F236" s="559">
        <f>-34.52+1081.58</f>
        <v>1047.06</v>
      </c>
      <c r="G236" s="555">
        <f>-182.81-1469.86</f>
        <v>-1652.6699999999998</v>
      </c>
      <c r="H236" s="559">
        <v>152.92</v>
      </c>
      <c r="I236" s="555">
        <v>1471.07</v>
      </c>
      <c r="J236" s="313">
        <f t="shared" si="62"/>
        <v>8593.689999999999</v>
      </c>
    </row>
    <row r="237" spans="1:10" s="24" customFormat="1" ht="13.5" thickBot="1">
      <c r="A237" s="433"/>
      <c r="B237" s="429"/>
      <c r="C237" s="48" t="s">
        <v>1</v>
      </c>
      <c r="D237" s="554">
        <v>12963.23</v>
      </c>
      <c r="E237" s="580">
        <f>47.06+20520</f>
        <v>20567.06</v>
      </c>
      <c r="F237" s="348">
        <f>34.52+7066.8</f>
        <v>7101.320000000001</v>
      </c>
      <c r="G237" s="554">
        <f>182.81+17280</f>
        <v>17462.81</v>
      </c>
      <c r="H237" s="348">
        <v>12465</v>
      </c>
      <c r="I237" s="554">
        <v>15660</v>
      </c>
      <c r="J237" s="312">
        <f t="shared" si="62"/>
        <v>86219.42</v>
      </c>
    </row>
    <row r="238" spans="1:10" s="24" customFormat="1" ht="13.5" thickBot="1">
      <c r="A238" s="433"/>
      <c r="B238" s="429"/>
      <c r="C238" s="50" t="s">
        <v>2</v>
      </c>
      <c r="D238" s="554">
        <v>11879.84</v>
      </c>
      <c r="E238" s="580">
        <v>18404.17</v>
      </c>
      <c r="F238" s="348">
        <v>7290.49</v>
      </c>
      <c r="G238" s="554">
        <v>16762.9</v>
      </c>
      <c r="H238" s="348">
        <v>11406.63</v>
      </c>
      <c r="I238" s="554">
        <v>15297.82</v>
      </c>
      <c r="J238" s="312">
        <f t="shared" si="62"/>
        <v>81041.84999999999</v>
      </c>
    </row>
    <row r="239" spans="1:10" s="24" customFormat="1" ht="13.5" thickBot="1">
      <c r="A239" s="433"/>
      <c r="B239" s="429"/>
      <c r="C239" s="48" t="s">
        <v>4</v>
      </c>
      <c r="D239" s="554">
        <f aca="true" t="shared" si="63" ref="D239:I240">+D237</f>
        <v>12963.23</v>
      </c>
      <c r="E239" s="580">
        <f t="shared" si="63"/>
        <v>20567.06</v>
      </c>
      <c r="F239" s="348">
        <f t="shared" si="63"/>
        <v>7101.320000000001</v>
      </c>
      <c r="G239" s="554">
        <f t="shared" si="63"/>
        <v>17462.81</v>
      </c>
      <c r="H239" s="348">
        <f t="shared" si="63"/>
        <v>12465</v>
      </c>
      <c r="I239" s="554">
        <f t="shared" si="63"/>
        <v>15660</v>
      </c>
      <c r="J239" s="312">
        <f t="shared" si="62"/>
        <v>86219.42</v>
      </c>
    </row>
    <row r="240" spans="1:10" s="24" customFormat="1" ht="13.5" thickBot="1">
      <c r="A240" s="433"/>
      <c r="B240" s="429"/>
      <c r="C240" s="48" t="s">
        <v>3</v>
      </c>
      <c r="D240" s="554">
        <f t="shared" si="63"/>
        <v>11879.84</v>
      </c>
      <c r="E240" s="580">
        <f t="shared" si="63"/>
        <v>18404.17</v>
      </c>
      <c r="F240" s="348">
        <f t="shared" si="63"/>
        <v>7290.49</v>
      </c>
      <c r="G240" s="554">
        <f t="shared" si="63"/>
        <v>16762.9</v>
      </c>
      <c r="H240" s="348">
        <f t="shared" si="63"/>
        <v>11406.63</v>
      </c>
      <c r="I240" s="554">
        <f t="shared" si="63"/>
        <v>15297.82</v>
      </c>
      <c r="J240" s="312">
        <f t="shared" si="62"/>
        <v>81041.84999999999</v>
      </c>
    </row>
    <row r="241" spans="1:10" s="3" customFormat="1" ht="13.5" thickBot="1">
      <c r="A241" s="433"/>
      <c r="B241" s="429"/>
      <c r="C241" s="63" t="s">
        <v>175</v>
      </c>
      <c r="D241" s="349">
        <f aca="true" t="shared" si="64" ref="D241:I241">D236+D237-D238</f>
        <v>3096.4699999999993</v>
      </c>
      <c r="E241" s="570">
        <f t="shared" si="64"/>
        <v>7725.120000000003</v>
      </c>
      <c r="F241" s="558">
        <f t="shared" si="64"/>
        <v>857.8900000000012</v>
      </c>
      <c r="G241" s="349">
        <f t="shared" si="64"/>
        <v>-952.7600000000002</v>
      </c>
      <c r="H241" s="558">
        <f t="shared" si="64"/>
        <v>1211.2900000000009</v>
      </c>
      <c r="I241" s="349">
        <f t="shared" si="64"/>
        <v>1833.25</v>
      </c>
      <c r="J241" s="350">
        <f t="shared" si="62"/>
        <v>13771.260000000004</v>
      </c>
    </row>
    <row r="242" spans="1:10" s="3" customFormat="1" ht="13.5" customHeight="1" hidden="1" thickBot="1">
      <c r="A242" s="428" t="s">
        <v>32</v>
      </c>
      <c r="B242" s="429" t="s">
        <v>19</v>
      </c>
      <c r="C242" s="49" t="s">
        <v>156</v>
      </c>
      <c r="D242" s="102"/>
      <c r="E242" s="545"/>
      <c r="F242" s="103">
        <v>0</v>
      </c>
      <c r="G242" s="102"/>
      <c r="H242" s="103"/>
      <c r="I242" s="102">
        <v>0</v>
      </c>
      <c r="J242" s="313" t="e">
        <f>I242+H242+G242+F242+#REF!+E242+D242</f>
        <v>#REF!</v>
      </c>
    </row>
    <row r="243" spans="1:10" s="3" customFormat="1" ht="13.5" customHeight="1" hidden="1" thickBot="1">
      <c r="A243" s="428"/>
      <c r="B243" s="429"/>
      <c r="C243" s="48" t="s">
        <v>1</v>
      </c>
      <c r="D243" s="94"/>
      <c r="E243" s="546"/>
      <c r="F243" s="95">
        <v>-15005.48</v>
      </c>
      <c r="G243" s="94"/>
      <c r="H243" s="95"/>
      <c r="I243" s="94">
        <v>0</v>
      </c>
      <c r="J243" s="312" t="e">
        <f>I243+H243+G243+F243+#REF!+E243+D243</f>
        <v>#REF!</v>
      </c>
    </row>
    <row r="244" spans="1:10" s="3" customFormat="1" ht="13.5" customHeight="1" hidden="1" thickBot="1">
      <c r="A244" s="428"/>
      <c r="B244" s="429"/>
      <c r="C244" s="50" t="s">
        <v>2</v>
      </c>
      <c r="D244" s="94"/>
      <c r="E244" s="546"/>
      <c r="F244" s="95">
        <v>2682.92</v>
      </c>
      <c r="G244" s="94"/>
      <c r="H244" s="95"/>
      <c r="I244" s="94">
        <v>2592.81</v>
      </c>
      <c r="J244" s="312" t="e">
        <f>I244+H244+G244+F244+#REF!+E244+D244</f>
        <v>#REF!</v>
      </c>
    </row>
    <row r="245" spans="1:10" s="3" customFormat="1" ht="13.5" customHeight="1" hidden="1" thickBot="1">
      <c r="A245" s="428"/>
      <c r="B245" s="429"/>
      <c r="C245" s="48" t="s">
        <v>4</v>
      </c>
      <c r="D245" s="96">
        <f aca="true" t="shared" si="65" ref="D245:I245">D243</f>
        <v>0</v>
      </c>
      <c r="E245" s="547">
        <f t="shared" si="65"/>
        <v>0</v>
      </c>
      <c r="F245" s="97">
        <f t="shared" si="65"/>
        <v>-15005.48</v>
      </c>
      <c r="G245" s="96">
        <f t="shared" si="65"/>
        <v>0</v>
      </c>
      <c r="H245" s="97">
        <f t="shared" si="65"/>
        <v>0</v>
      </c>
      <c r="I245" s="96">
        <f t="shared" si="65"/>
        <v>0</v>
      </c>
      <c r="J245" s="312" t="e">
        <f>I245+H245+G245+F245+#REF!+E245+D245</f>
        <v>#REF!</v>
      </c>
    </row>
    <row r="246" spans="1:10" s="3" customFormat="1" ht="13.5" customHeight="1" hidden="1" thickBot="1">
      <c r="A246" s="428"/>
      <c r="B246" s="429"/>
      <c r="C246" s="48" t="s">
        <v>3</v>
      </c>
      <c r="D246" s="96">
        <f aca="true" t="shared" si="66" ref="D246:I246">D243</f>
        <v>0</v>
      </c>
      <c r="E246" s="547">
        <f t="shared" si="66"/>
        <v>0</v>
      </c>
      <c r="F246" s="97">
        <f t="shared" si="66"/>
        <v>-15005.48</v>
      </c>
      <c r="G246" s="96">
        <f t="shared" si="66"/>
        <v>0</v>
      </c>
      <c r="H246" s="97">
        <f t="shared" si="66"/>
        <v>0</v>
      </c>
      <c r="I246" s="96">
        <f t="shared" si="66"/>
        <v>0</v>
      </c>
      <c r="J246" s="312" t="e">
        <f>I246+H246+G246+F246+#REF!+E246+D246</f>
        <v>#REF!</v>
      </c>
    </row>
    <row r="247" spans="1:10" s="3" customFormat="1" ht="13.5" customHeight="1" hidden="1" thickBot="1">
      <c r="A247" s="428"/>
      <c r="B247" s="429"/>
      <c r="C247" s="63" t="s">
        <v>160</v>
      </c>
      <c r="D247" s="12">
        <f aca="true" t="shared" si="67" ref="D247:I247">D242+D243-D244</f>
        <v>0</v>
      </c>
      <c r="E247" s="548">
        <f t="shared" si="67"/>
        <v>0</v>
      </c>
      <c r="F247" s="17">
        <f t="shared" si="67"/>
        <v>-17688.4</v>
      </c>
      <c r="G247" s="12">
        <f t="shared" si="67"/>
        <v>0</v>
      </c>
      <c r="H247" s="17">
        <f t="shared" si="67"/>
        <v>0</v>
      </c>
      <c r="I247" s="12">
        <f t="shared" si="67"/>
        <v>-2592.81</v>
      </c>
      <c r="J247" s="575" t="e">
        <f>I247+H247+G247+F247+#REF!+E247+D247</f>
        <v>#REF!</v>
      </c>
    </row>
    <row r="248" spans="1:10" s="3" customFormat="1" ht="13.5" customHeight="1" hidden="1" thickBot="1">
      <c r="A248" s="428" t="s">
        <v>46</v>
      </c>
      <c r="B248" s="429" t="s">
        <v>38</v>
      </c>
      <c r="C248" s="49" t="s">
        <v>156</v>
      </c>
      <c r="D248" s="94"/>
      <c r="E248" s="546"/>
      <c r="F248" s="95"/>
      <c r="G248" s="94"/>
      <c r="H248" s="95"/>
      <c r="I248" s="94"/>
      <c r="J248" s="312" t="e">
        <f>I248+H248+G248+F248+#REF!+E248+D248</f>
        <v>#REF!</v>
      </c>
    </row>
    <row r="249" spans="1:10" s="3" customFormat="1" ht="13.5" customHeight="1" hidden="1" thickBot="1">
      <c r="A249" s="428"/>
      <c r="B249" s="429"/>
      <c r="C249" s="48" t="s">
        <v>1</v>
      </c>
      <c r="D249" s="94"/>
      <c r="E249" s="546"/>
      <c r="F249" s="95"/>
      <c r="G249" s="94"/>
      <c r="H249" s="95"/>
      <c r="I249" s="94"/>
      <c r="J249" s="312" t="e">
        <f>I249+H249+G249+F249+#REF!+E249+D249</f>
        <v>#REF!</v>
      </c>
    </row>
    <row r="250" spans="1:10" s="3" customFormat="1" ht="13.5" customHeight="1" hidden="1" thickBot="1">
      <c r="A250" s="428"/>
      <c r="B250" s="429"/>
      <c r="C250" s="50" t="s">
        <v>2</v>
      </c>
      <c r="D250" s="94"/>
      <c r="E250" s="546"/>
      <c r="F250" s="95"/>
      <c r="G250" s="94"/>
      <c r="H250" s="95"/>
      <c r="I250" s="94"/>
      <c r="J250" s="312" t="e">
        <f>I250+H250+G250+F250+#REF!+E250+D250</f>
        <v>#REF!</v>
      </c>
    </row>
    <row r="251" spans="1:10" s="3" customFormat="1" ht="13.5" customHeight="1" hidden="1" thickBot="1">
      <c r="A251" s="428"/>
      <c r="B251" s="429"/>
      <c r="C251" s="48" t="s">
        <v>4</v>
      </c>
      <c r="D251" s="94"/>
      <c r="E251" s="546"/>
      <c r="F251" s="95"/>
      <c r="G251" s="94"/>
      <c r="H251" s="95"/>
      <c r="I251" s="94"/>
      <c r="J251" s="312" t="e">
        <f>I251+H251+G251+F251+#REF!+E251+D251</f>
        <v>#REF!</v>
      </c>
    </row>
    <row r="252" spans="1:10" s="3" customFormat="1" ht="13.5" customHeight="1" hidden="1" thickBot="1">
      <c r="A252" s="428"/>
      <c r="B252" s="429"/>
      <c r="C252" s="48" t="s">
        <v>3</v>
      </c>
      <c r="D252" s="12"/>
      <c r="E252" s="548"/>
      <c r="F252" s="17"/>
      <c r="G252" s="12"/>
      <c r="H252" s="17"/>
      <c r="I252" s="12"/>
      <c r="J252" s="312" t="e">
        <f>I252+H252+G252+F252+#REF!+E252+D252</f>
        <v>#REF!</v>
      </c>
    </row>
    <row r="253" spans="1:10" s="3" customFormat="1" ht="13.5" customHeight="1" hidden="1" thickBot="1">
      <c r="A253" s="428"/>
      <c r="B253" s="429"/>
      <c r="C253" s="63" t="s">
        <v>160</v>
      </c>
      <c r="D253" s="12">
        <f>D248+D249-D250</f>
        <v>0</v>
      </c>
      <c r="E253" s="548">
        <f>E248+E249-E250</f>
        <v>0</v>
      </c>
      <c r="F253" s="17">
        <f>F248+F249-F250</f>
        <v>0</v>
      </c>
      <c r="G253" s="12">
        <f>G248+G249-G250</f>
        <v>0</v>
      </c>
      <c r="H253" s="17">
        <f>H248+H249-H250</f>
        <v>0</v>
      </c>
      <c r="I253" s="12"/>
      <c r="J253" s="575" t="e">
        <f>I253+H253+G253+F253+#REF!+E253+D253</f>
        <v>#REF!</v>
      </c>
    </row>
    <row r="254" spans="1:10" s="3" customFormat="1" ht="13.5" customHeight="1" hidden="1" thickBot="1">
      <c r="A254" s="428" t="s">
        <v>53</v>
      </c>
      <c r="B254" s="429" t="s">
        <v>38</v>
      </c>
      <c r="C254" s="49" t="s">
        <v>156</v>
      </c>
      <c r="D254" s="94"/>
      <c r="E254" s="546">
        <f>-3286.79-47.06</f>
        <v>-3333.85</v>
      </c>
      <c r="F254" s="95">
        <f>-2671.23-182.83</f>
        <v>-2854.06</v>
      </c>
      <c r="G254" s="94">
        <f>-1233.86-34.52</f>
        <v>-1268.3799999999999</v>
      </c>
      <c r="H254" s="95">
        <v>-1506.84</v>
      </c>
      <c r="I254" s="94">
        <v>-0.04</v>
      </c>
      <c r="J254" s="312" t="e">
        <f>I254+H254+G254+F254+#REF!+E254+D254</f>
        <v>#REF!</v>
      </c>
    </row>
    <row r="255" spans="1:10" s="3" customFormat="1" ht="13.5" customHeight="1" hidden="1" thickBot="1">
      <c r="A255" s="428"/>
      <c r="B255" s="429"/>
      <c r="C255" s="48" t="s">
        <v>1</v>
      </c>
      <c r="D255" s="94"/>
      <c r="E255" s="546">
        <v>0</v>
      </c>
      <c r="F255" s="95">
        <v>0</v>
      </c>
      <c r="G255" s="94">
        <v>0</v>
      </c>
      <c r="H255" s="95">
        <v>0</v>
      </c>
      <c r="I255" s="94">
        <v>0</v>
      </c>
      <c r="J255" s="312" t="e">
        <f>I255+H255+G255+F255+#REF!+E255+D255</f>
        <v>#REF!</v>
      </c>
    </row>
    <row r="256" spans="1:10" s="3" customFormat="1" ht="13.5" customHeight="1" hidden="1" thickBot="1">
      <c r="A256" s="428"/>
      <c r="B256" s="429"/>
      <c r="C256" s="50" t="s">
        <v>2</v>
      </c>
      <c r="D256" s="94"/>
      <c r="E256" s="546">
        <v>0</v>
      </c>
      <c r="F256" s="95">
        <v>0.01</v>
      </c>
      <c r="G256" s="94">
        <v>0</v>
      </c>
      <c r="H256" s="95">
        <v>1.8</v>
      </c>
      <c r="I256" s="94">
        <v>0</v>
      </c>
      <c r="J256" s="312" t="e">
        <f>I256+H256+G256+F256+#REF!+E256+D256</f>
        <v>#REF!</v>
      </c>
    </row>
    <row r="257" spans="1:10" s="3" customFormat="1" ht="13.5" customHeight="1" hidden="1" thickBot="1">
      <c r="A257" s="428"/>
      <c r="B257" s="429"/>
      <c r="C257" s="48" t="s">
        <v>4</v>
      </c>
      <c r="D257" s="96">
        <f aca="true" t="shared" si="68" ref="D257:I257">D255</f>
        <v>0</v>
      </c>
      <c r="E257" s="547">
        <f t="shared" si="68"/>
        <v>0</v>
      </c>
      <c r="F257" s="97">
        <f t="shared" si="68"/>
        <v>0</v>
      </c>
      <c r="G257" s="96">
        <f t="shared" si="68"/>
        <v>0</v>
      </c>
      <c r="H257" s="97">
        <f t="shared" si="68"/>
        <v>0</v>
      </c>
      <c r="I257" s="96">
        <f t="shared" si="68"/>
        <v>0</v>
      </c>
      <c r="J257" s="312" t="e">
        <f>I257+H257+G257+F257+#REF!+E257+D257</f>
        <v>#REF!</v>
      </c>
    </row>
    <row r="258" spans="1:10" s="3" customFormat="1" ht="13.5" customHeight="1" hidden="1" thickBot="1">
      <c r="A258" s="428"/>
      <c r="B258" s="429"/>
      <c r="C258" s="48" t="s">
        <v>3</v>
      </c>
      <c r="D258" s="96">
        <f aca="true" t="shared" si="69" ref="D258:I258">D255</f>
        <v>0</v>
      </c>
      <c r="E258" s="547">
        <f t="shared" si="69"/>
        <v>0</v>
      </c>
      <c r="F258" s="97">
        <f t="shared" si="69"/>
        <v>0</v>
      </c>
      <c r="G258" s="96">
        <f t="shared" si="69"/>
        <v>0</v>
      </c>
      <c r="H258" s="97">
        <f t="shared" si="69"/>
        <v>0</v>
      </c>
      <c r="I258" s="96">
        <f t="shared" si="69"/>
        <v>0</v>
      </c>
      <c r="J258" s="312" t="e">
        <f>I258+H258+G258+F258+#REF!+E258+D258</f>
        <v>#REF!</v>
      </c>
    </row>
    <row r="259" spans="1:10" s="3" customFormat="1" ht="13.5" customHeight="1" hidden="1" thickBot="1">
      <c r="A259" s="428"/>
      <c r="B259" s="429"/>
      <c r="C259" s="63" t="s">
        <v>160</v>
      </c>
      <c r="D259" s="12">
        <f aca="true" t="shared" si="70" ref="D259:I259">D254+D255-D256</f>
        <v>0</v>
      </c>
      <c r="E259" s="548">
        <f t="shared" si="70"/>
        <v>-3333.85</v>
      </c>
      <c r="F259" s="17">
        <f t="shared" si="70"/>
        <v>-2854.07</v>
      </c>
      <c r="G259" s="12">
        <f t="shared" si="70"/>
        <v>-1268.3799999999999</v>
      </c>
      <c r="H259" s="17">
        <f t="shared" si="70"/>
        <v>-1508.6399999999999</v>
      </c>
      <c r="I259" s="12">
        <f t="shared" si="70"/>
        <v>-0.04</v>
      </c>
      <c r="J259" s="575" t="e">
        <f>I259+H259+G259+F259+#REF!+E259+D259</f>
        <v>#REF!</v>
      </c>
    </row>
    <row r="260" spans="1:10" s="24" customFormat="1" ht="13.5" customHeight="1" hidden="1" thickBot="1">
      <c r="A260" s="428" t="s">
        <v>25</v>
      </c>
      <c r="B260" s="429" t="s">
        <v>26</v>
      </c>
      <c r="C260" s="49" t="s">
        <v>156</v>
      </c>
      <c r="D260" s="96"/>
      <c r="E260" s="547"/>
      <c r="F260" s="97"/>
      <c r="G260" s="96"/>
      <c r="H260" s="97"/>
      <c r="I260" s="96"/>
      <c r="J260" s="312" t="e">
        <f>I260+H260+G260+F260+#REF!+E260+D260</f>
        <v>#REF!</v>
      </c>
    </row>
    <row r="261" spans="1:10" s="24" customFormat="1" ht="13.5" customHeight="1" hidden="1" thickBot="1">
      <c r="A261" s="428"/>
      <c r="B261" s="429"/>
      <c r="C261" s="48" t="s">
        <v>1</v>
      </c>
      <c r="D261" s="96"/>
      <c r="E261" s="547"/>
      <c r="F261" s="97"/>
      <c r="G261" s="96"/>
      <c r="H261" s="97"/>
      <c r="I261" s="96"/>
      <c r="J261" s="312" t="e">
        <f>I261+H261+G261+F261+#REF!+E261+D261</f>
        <v>#REF!</v>
      </c>
    </row>
    <row r="262" spans="1:10" s="24" customFormat="1" ht="13.5" customHeight="1" hidden="1" thickBot="1">
      <c r="A262" s="428"/>
      <c r="B262" s="429"/>
      <c r="C262" s="50" t="s">
        <v>2</v>
      </c>
      <c r="D262" s="96"/>
      <c r="E262" s="547"/>
      <c r="F262" s="97"/>
      <c r="G262" s="96"/>
      <c r="H262" s="97"/>
      <c r="I262" s="96"/>
      <c r="J262" s="312" t="e">
        <f>I262+H262+G262+F262+#REF!+E262+D262</f>
        <v>#REF!</v>
      </c>
    </row>
    <row r="263" spans="1:10" s="24" customFormat="1" ht="13.5" customHeight="1" hidden="1" thickBot="1">
      <c r="A263" s="428"/>
      <c r="B263" s="429"/>
      <c r="C263" s="48" t="s">
        <v>4</v>
      </c>
      <c r="D263" s="96">
        <f aca="true" t="shared" si="71" ref="D263:I263">D261</f>
        <v>0</v>
      </c>
      <c r="E263" s="547">
        <f t="shared" si="71"/>
        <v>0</v>
      </c>
      <c r="F263" s="97">
        <f t="shared" si="71"/>
        <v>0</v>
      </c>
      <c r="G263" s="96">
        <f t="shared" si="71"/>
        <v>0</v>
      </c>
      <c r="H263" s="97">
        <f t="shared" si="71"/>
        <v>0</v>
      </c>
      <c r="I263" s="96">
        <f t="shared" si="71"/>
        <v>0</v>
      </c>
      <c r="J263" s="312" t="e">
        <f>I263+H263+G263+F263+#REF!+E263+D263</f>
        <v>#REF!</v>
      </c>
    </row>
    <row r="264" spans="1:10" s="24" customFormat="1" ht="13.5" customHeight="1" hidden="1" thickBot="1">
      <c r="A264" s="428"/>
      <c r="B264" s="429"/>
      <c r="C264" s="48" t="s">
        <v>3</v>
      </c>
      <c r="D264" s="96">
        <f aca="true" t="shared" si="72" ref="D264:I264">D261</f>
        <v>0</v>
      </c>
      <c r="E264" s="547">
        <f t="shared" si="72"/>
        <v>0</v>
      </c>
      <c r="F264" s="97">
        <f t="shared" si="72"/>
        <v>0</v>
      </c>
      <c r="G264" s="96">
        <f t="shared" si="72"/>
        <v>0</v>
      </c>
      <c r="H264" s="97">
        <f t="shared" si="72"/>
        <v>0</v>
      </c>
      <c r="I264" s="96">
        <f t="shared" si="72"/>
        <v>0</v>
      </c>
      <c r="J264" s="312" t="e">
        <f>I264+H264+G264+F264+#REF!+E264+D264</f>
        <v>#REF!</v>
      </c>
    </row>
    <row r="265" spans="1:10" s="3" customFormat="1" ht="13.5" customHeight="1" hidden="1" thickBot="1">
      <c r="A265" s="428"/>
      <c r="B265" s="429"/>
      <c r="C265" s="63" t="s">
        <v>160</v>
      </c>
      <c r="D265" s="12">
        <f aca="true" t="shared" si="73" ref="D265:I265">D260+D261-D262</f>
        <v>0</v>
      </c>
      <c r="E265" s="548">
        <f t="shared" si="73"/>
        <v>0</v>
      </c>
      <c r="F265" s="17">
        <f t="shared" si="73"/>
        <v>0</v>
      </c>
      <c r="G265" s="12">
        <f t="shared" si="73"/>
        <v>0</v>
      </c>
      <c r="H265" s="17">
        <f t="shared" si="73"/>
        <v>0</v>
      </c>
      <c r="I265" s="12">
        <f t="shared" si="73"/>
        <v>0</v>
      </c>
      <c r="J265" s="575" t="e">
        <f>I265+H265+G265+F265+#REF!+E265+D265</f>
        <v>#REF!</v>
      </c>
    </row>
    <row r="266" spans="1:10" s="3" customFormat="1" ht="13.5" customHeight="1" hidden="1" thickBot="1">
      <c r="A266" s="428" t="s">
        <v>35</v>
      </c>
      <c r="B266" s="429" t="s">
        <v>27</v>
      </c>
      <c r="C266" s="49" t="s">
        <v>156</v>
      </c>
      <c r="D266" s="94"/>
      <c r="E266" s="546"/>
      <c r="F266" s="95"/>
      <c r="G266" s="94"/>
      <c r="H266" s="95"/>
      <c r="I266" s="94"/>
      <c r="J266" s="312" t="e">
        <f>I266+H266+G266+F266+#REF!+E266+D266</f>
        <v>#REF!</v>
      </c>
    </row>
    <row r="267" spans="1:10" s="3" customFormat="1" ht="13.5" customHeight="1" hidden="1" thickBot="1">
      <c r="A267" s="428"/>
      <c r="B267" s="429"/>
      <c r="C267" s="48" t="s">
        <v>1</v>
      </c>
      <c r="D267" s="94"/>
      <c r="E267" s="546"/>
      <c r="F267" s="95"/>
      <c r="G267" s="94"/>
      <c r="H267" s="95"/>
      <c r="I267" s="94"/>
      <c r="J267" s="312" t="e">
        <f>I267+H267+G267+F267+#REF!+E267+D267</f>
        <v>#REF!</v>
      </c>
    </row>
    <row r="268" spans="1:10" s="3" customFormat="1" ht="13.5" customHeight="1" hidden="1" thickBot="1">
      <c r="A268" s="428"/>
      <c r="B268" s="429"/>
      <c r="C268" s="50" t="s">
        <v>2</v>
      </c>
      <c r="D268" s="94"/>
      <c r="E268" s="546"/>
      <c r="F268" s="95"/>
      <c r="G268" s="94"/>
      <c r="H268" s="95"/>
      <c r="I268" s="94"/>
      <c r="J268" s="312" t="e">
        <f>I268+H268+G268+F268+#REF!+E268+D268</f>
        <v>#REF!</v>
      </c>
    </row>
    <row r="269" spans="1:10" s="3" customFormat="1" ht="13.5" customHeight="1" hidden="1" thickBot="1">
      <c r="A269" s="428"/>
      <c r="B269" s="429"/>
      <c r="C269" s="48" t="s">
        <v>4</v>
      </c>
      <c r="D269" s="96">
        <f aca="true" t="shared" si="74" ref="D269:I269">D267</f>
        <v>0</v>
      </c>
      <c r="E269" s="547">
        <f t="shared" si="74"/>
        <v>0</v>
      </c>
      <c r="F269" s="97">
        <f t="shared" si="74"/>
        <v>0</v>
      </c>
      <c r="G269" s="96">
        <f t="shared" si="74"/>
        <v>0</v>
      </c>
      <c r="H269" s="97">
        <f t="shared" si="74"/>
        <v>0</v>
      </c>
      <c r="I269" s="96">
        <f t="shared" si="74"/>
        <v>0</v>
      </c>
      <c r="J269" s="312" t="e">
        <f>I269+H269+G269+F269+#REF!+E269+D269</f>
        <v>#REF!</v>
      </c>
    </row>
    <row r="270" spans="1:10" s="3" customFormat="1" ht="13.5" customHeight="1" hidden="1" thickBot="1">
      <c r="A270" s="428"/>
      <c r="B270" s="429"/>
      <c r="C270" s="48" t="s">
        <v>3</v>
      </c>
      <c r="D270" s="96">
        <f aca="true" t="shared" si="75" ref="D270:I270">D267</f>
        <v>0</v>
      </c>
      <c r="E270" s="547">
        <f t="shared" si="75"/>
        <v>0</v>
      </c>
      <c r="F270" s="97">
        <f t="shared" si="75"/>
        <v>0</v>
      </c>
      <c r="G270" s="96">
        <f t="shared" si="75"/>
        <v>0</v>
      </c>
      <c r="H270" s="97">
        <f t="shared" si="75"/>
        <v>0</v>
      </c>
      <c r="I270" s="96">
        <f t="shared" si="75"/>
        <v>0</v>
      </c>
      <c r="J270" s="312" t="e">
        <f>I270+H270+G270+F270+#REF!+E270+D270</f>
        <v>#REF!</v>
      </c>
    </row>
    <row r="271" spans="1:10" s="3" customFormat="1" ht="13.5" customHeight="1" hidden="1" thickBot="1">
      <c r="A271" s="428"/>
      <c r="B271" s="429"/>
      <c r="C271" s="63" t="s">
        <v>160</v>
      </c>
      <c r="D271" s="12">
        <f aca="true" t="shared" si="76" ref="D271:I271">D266+D267-D268</f>
        <v>0</v>
      </c>
      <c r="E271" s="548">
        <f t="shared" si="76"/>
        <v>0</v>
      </c>
      <c r="F271" s="17">
        <f t="shared" si="76"/>
        <v>0</v>
      </c>
      <c r="G271" s="12">
        <f t="shared" si="76"/>
        <v>0</v>
      </c>
      <c r="H271" s="17">
        <f t="shared" si="76"/>
        <v>0</v>
      </c>
      <c r="I271" s="12">
        <f t="shared" si="76"/>
        <v>0</v>
      </c>
      <c r="J271" s="575" t="e">
        <f>I271+H271+G271+F271+#REF!+E271+D271</f>
        <v>#REF!</v>
      </c>
    </row>
    <row r="272" spans="1:10" s="3" customFormat="1" ht="13.5" customHeight="1" hidden="1" thickBot="1">
      <c r="A272" s="428" t="s">
        <v>35</v>
      </c>
      <c r="B272" s="429" t="s">
        <v>47</v>
      </c>
      <c r="C272" s="49" t="s">
        <v>156</v>
      </c>
      <c r="D272" s="94"/>
      <c r="E272" s="546"/>
      <c r="F272" s="95"/>
      <c r="G272" s="94"/>
      <c r="H272" s="95"/>
      <c r="I272" s="94"/>
      <c r="J272" s="312" t="e">
        <f>I272+H272+G272+F272+#REF!+E272+D272</f>
        <v>#REF!</v>
      </c>
    </row>
    <row r="273" spans="1:10" s="3" customFormat="1" ht="13.5" customHeight="1" hidden="1" thickBot="1">
      <c r="A273" s="428"/>
      <c r="B273" s="429"/>
      <c r="C273" s="48" t="s">
        <v>1</v>
      </c>
      <c r="D273" s="94"/>
      <c r="E273" s="546"/>
      <c r="F273" s="95"/>
      <c r="G273" s="94"/>
      <c r="H273" s="95"/>
      <c r="I273" s="94"/>
      <c r="J273" s="312" t="e">
        <f>I273+H273+G273+F273+#REF!+E273+D273</f>
        <v>#REF!</v>
      </c>
    </row>
    <row r="274" spans="1:10" s="3" customFormat="1" ht="13.5" customHeight="1" hidden="1" thickBot="1">
      <c r="A274" s="428"/>
      <c r="B274" s="429"/>
      <c r="C274" s="50" t="s">
        <v>2</v>
      </c>
      <c r="D274" s="94"/>
      <c r="E274" s="546"/>
      <c r="F274" s="95"/>
      <c r="G274" s="94"/>
      <c r="H274" s="95"/>
      <c r="I274" s="94"/>
      <c r="J274" s="312" t="e">
        <f>I274+H274+G274+F274+#REF!+E274+D274</f>
        <v>#REF!</v>
      </c>
    </row>
    <row r="275" spans="1:10" s="3" customFormat="1" ht="13.5" customHeight="1" hidden="1" thickBot="1">
      <c r="A275" s="428"/>
      <c r="B275" s="429"/>
      <c r="C275" s="48" t="s">
        <v>4</v>
      </c>
      <c r="D275" s="96">
        <f aca="true" t="shared" si="77" ref="D275:I275">D279</f>
        <v>0</v>
      </c>
      <c r="E275" s="547">
        <f t="shared" si="77"/>
        <v>0</v>
      </c>
      <c r="F275" s="97">
        <f t="shared" si="77"/>
        <v>0</v>
      </c>
      <c r="G275" s="96">
        <f t="shared" si="77"/>
        <v>0</v>
      </c>
      <c r="H275" s="97">
        <f t="shared" si="77"/>
        <v>0</v>
      </c>
      <c r="I275" s="96">
        <f t="shared" si="77"/>
        <v>0</v>
      </c>
      <c r="J275" s="312" t="e">
        <f>I275+H275+G275+F275+#REF!+E275+D275</f>
        <v>#REF!</v>
      </c>
    </row>
    <row r="276" spans="1:10" s="3" customFormat="1" ht="13.5" customHeight="1" hidden="1" thickBot="1">
      <c r="A276" s="428"/>
      <c r="B276" s="429"/>
      <c r="C276" s="48" t="s">
        <v>3</v>
      </c>
      <c r="D276" s="96">
        <f aca="true" t="shared" si="78" ref="D276:I276">D279</f>
        <v>0</v>
      </c>
      <c r="E276" s="547">
        <f t="shared" si="78"/>
        <v>0</v>
      </c>
      <c r="F276" s="97">
        <f t="shared" si="78"/>
        <v>0</v>
      </c>
      <c r="G276" s="96">
        <f t="shared" si="78"/>
        <v>0</v>
      </c>
      <c r="H276" s="97">
        <f t="shared" si="78"/>
        <v>0</v>
      </c>
      <c r="I276" s="96">
        <f t="shared" si="78"/>
        <v>0</v>
      </c>
      <c r="J276" s="312" t="e">
        <f>I276+H276+G276+F276+#REF!+E276+D276</f>
        <v>#REF!</v>
      </c>
    </row>
    <row r="277" spans="1:10" s="3" customFormat="1" ht="13.5" customHeight="1" hidden="1" thickBot="1">
      <c r="A277" s="428"/>
      <c r="B277" s="429"/>
      <c r="C277" s="63" t="s">
        <v>160</v>
      </c>
      <c r="D277" s="12">
        <f aca="true" t="shared" si="79" ref="D277:I277">D272+D273-D274</f>
        <v>0</v>
      </c>
      <c r="E277" s="548">
        <f t="shared" si="79"/>
        <v>0</v>
      </c>
      <c r="F277" s="17">
        <f t="shared" si="79"/>
        <v>0</v>
      </c>
      <c r="G277" s="12">
        <f t="shared" si="79"/>
        <v>0</v>
      </c>
      <c r="H277" s="17">
        <f t="shared" si="79"/>
        <v>0</v>
      </c>
      <c r="I277" s="12">
        <f t="shared" si="79"/>
        <v>0</v>
      </c>
      <c r="J277" s="575" t="e">
        <f>I277+H277+G277+F277+#REF!+E277+D277</f>
        <v>#REF!</v>
      </c>
    </row>
    <row r="278" spans="1:10" s="3" customFormat="1" ht="13.5" customHeight="1" hidden="1" thickBot="1">
      <c r="A278" s="428" t="s">
        <v>35</v>
      </c>
      <c r="B278" s="429" t="s">
        <v>44</v>
      </c>
      <c r="C278" s="49" t="s">
        <v>156</v>
      </c>
      <c r="D278" s="94"/>
      <c r="E278" s="546"/>
      <c r="F278" s="95"/>
      <c r="G278" s="94"/>
      <c r="H278" s="95"/>
      <c r="I278" s="94"/>
      <c r="J278" s="312" t="e">
        <f>I278+H278+G278+F278+#REF!+E278+D278</f>
        <v>#REF!</v>
      </c>
    </row>
    <row r="279" spans="1:10" s="3" customFormat="1" ht="13.5" customHeight="1" hidden="1" thickBot="1">
      <c r="A279" s="428"/>
      <c r="B279" s="429"/>
      <c r="C279" s="48" t="s">
        <v>1</v>
      </c>
      <c r="D279" s="94"/>
      <c r="E279" s="546"/>
      <c r="F279" s="95"/>
      <c r="G279" s="94"/>
      <c r="H279" s="95"/>
      <c r="I279" s="94"/>
      <c r="J279" s="312" t="e">
        <f>I279+H279+G279+F279+#REF!+E279+D279</f>
        <v>#REF!</v>
      </c>
    </row>
    <row r="280" spans="1:10" s="3" customFormat="1" ht="13.5" customHeight="1" hidden="1" thickBot="1">
      <c r="A280" s="428"/>
      <c r="B280" s="429"/>
      <c r="C280" s="50" t="s">
        <v>2</v>
      </c>
      <c r="D280" s="94"/>
      <c r="E280" s="546"/>
      <c r="F280" s="95"/>
      <c r="G280" s="94"/>
      <c r="H280" s="95"/>
      <c r="I280" s="94"/>
      <c r="J280" s="312" t="e">
        <f>I280+H280+G280+F280+#REF!+E280+D280</f>
        <v>#REF!</v>
      </c>
    </row>
    <row r="281" spans="1:10" s="3" customFormat="1" ht="13.5" customHeight="1" hidden="1" thickBot="1">
      <c r="A281" s="428"/>
      <c r="B281" s="429"/>
      <c r="C281" s="48" t="s">
        <v>4</v>
      </c>
      <c r="D281" s="96">
        <f aca="true" t="shared" si="80" ref="D281:I281">D279</f>
        <v>0</v>
      </c>
      <c r="E281" s="547">
        <f t="shared" si="80"/>
        <v>0</v>
      </c>
      <c r="F281" s="97">
        <f t="shared" si="80"/>
        <v>0</v>
      </c>
      <c r="G281" s="96">
        <f t="shared" si="80"/>
        <v>0</v>
      </c>
      <c r="H281" s="97">
        <f t="shared" si="80"/>
        <v>0</v>
      </c>
      <c r="I281" s="96">
        <f t="shared" si="80"/>
        <v>0</v>
      </c>
      <c r="J281" s="312" t="e">
        <f>I281+H281+G281+F281+#REF!+E281+D281</f>
        <v>#REF!</v>
      </c>
    </row>
    <row r="282" spans="1:10" s="3" customFormat="1" ht="13.5" customHeight="1" hidden="1" thickBot="1">
      <c r="A282" s="428"/>
      <c r="B282" s="429"/>
      <c r="C282" s="48" t="s">
        <v>3</v>
      </c>
      <c r="D282" s="96">
        <f aca="true" t="shared" si="81" ref="D282:I282">D279</f>
        <v>0</v>
      </c>
      <c r="E282" s="547">
        <f t="shared" si="81"/>
        <v>0</v>
      </c>
      <c r="F282" s="97">
        <f t="shared" si="81"/>
        <v>0</v>
      </c>
      <c r="G282" s="96">
        <f t="shared" si="81"/>
        <v>0</v>
      </c>
      <c r="H282" s="97">
        <f t="shared" si="81"/>
        <v>0</v>
      </c>
      <c r="I282" s="96">
        <f t="shared" si="81"/>
        <v>0</v>
      </c>
      <c r="J282" s="312" t="e">
        <f>I282+H282+G282+F282+#REF!+E282+D282</f>
        <v>#REF!</v>
      </c>
    </row>
    <row r="283" spans="1:10" s="3" customFormat="1" ht="13.5" customHeight="1" hidden="1" thickBot="1">
      <c r="A283" s="428"/>
      <c r="B283" s="429"/>
      <c r="C283" s="63" t="s">
        <v>160</v>
      </c>
      <c r="D283" s="98">
        <f aca="true" t="shared" si="82" ref="D283:I283">D278+D279-D280</f>
        <v>0</v>
      </c>
      <c r="E283" s="549">
        <f t="shared" si="82"/>
        <v>0</v>
      </c>
      <c r="F283" s="99">
        <f t="shared" si="82"/>
        <v>0</v>
      </c>
      <c r="G283" s="98">
        <f t="shared" si="82"/>
        <v>0</v>
      </c>
      <c r="H283" s="99">
        <f t="shared" si="82"/>
        <v>0</v>
      </c>
      <c r="I283" s="98">
        <f t="shared" si="82"/>
        <v>0</v>
      </c>
      <c r="J283" s="576" t="e">
        <f>I283+H283+G283+F283+#REF!+E283+D283</f>
        <v>#REF!</v>
      </c>
    </row>
    <row r="284" spans="1:10" s="3" customFormat="1" ht="13.5" thickBot="1">
      <c r="A284" s="428" t="s">
        <v>39</v>
      </c>
      <c r="B284" s="429" t="s">
        <v>27</v>
      </c>
      <c r="C284" s="49" t="s">
        <v>167</v>
      </c>
      <c r="D284" s="584">
        <v>1797.63</v>
      </c>
      <c r="E284" s="579"/>
      <c r="F284" s="562"/>
      <c r="G284" s="553"/>
      <c r="H284" s="562">
        <v>847.21</v>
      </c>
      <c r="I284" s="553"/>
      <c r="J284" s="311">
        <f aca="true" t="shared" si="83" ref="J284:J301">I284+H284+G284+F284+E284+D284</f>
        <v>2644.84</v>
      </c>
    </row>
    <row r="285" spans="1:10" s="3" customFormat="1" ht="13.5" thickBot="1">
      <c r="A285" s="428"/>
      <c r="B285" s="429"/>
      <c r="C285" s="48" t="s">
        <v>1</v>
      </c>
      <c r="D285" s="585">
        <v>15372</v>
      </c>
      <c r="E285" s="580"/>
      <c r="F285" s="348"/>
      <c r="G285" s="554"/>
      <c r="H285" s="348">
        <v>8784</v>
      </c>
      <c r="I285" s="554"/>
      <c r="J285" s="312">
        <f t="shared" si="83"/>
        <v>24156</v>
      </c>
    </row>
    <row r="286" spans="1:10" s="3" customFormat="1" ht="13.5" thickBot="1">
      <c r="A286" s="428"/>
      <c r="B286" s="429"/>
      <c r="C286" s="50" t="s">
        <v>2</v>
      </c>
      <c r="D286" s="585">
        <v>14313.16</v>
      </c>
      <c r="E286" s="580"/>
      <c r="F286" s="348"/>
      <c r="G286" s="554"/>
      <c r="H286" s="348">
        <v>7495.33</v>
      </c>
      <c r="I286" s="554"/>
      <c r="J286" s="312">
        <f t="shared" si="83"/>
        <v>21808.489999999998</v>
      </c>
    </row>
    <row r="287" spans="1:10" s="3" customFormat="1" ht="13.5" thickBot="1">
      <c r="A287" s="428"/>
      <c r="B287" s="429"/>
      <c r="C287" s="48" t="s">
        <v>4</v>
      </c>
      <c r="D287" s="554">
        <f aca="true" t="shared" si="84" ref="D287:I288">+D285</f>
        <v>15372</v>
      </c>
      <c r="E287" s="580">
        <f t="shared" si="84"/>
        <v>0</v>
      </c>
      <c r="F287" s="348">
        <f t="shared" si="84"/>
        <v>0</v>
      </c>
      <c r="G287" s="554">
        <f t="shared" si="84"/>
        <v>0</v>
      </c>
      <c r="H287" s="348">
        <f t="shared" si="84"/>
        <v>8784</v>
      </c>
      <c r="I287" s="554">
        <f t="shared" si="84"/>
        <v>0</v>
      </c>
      <c r="J287" s="312">
        <f t="shared" si="83"/>
        <v>24156</v>
      </c>
    </row>
    <row r="288" spans="1:10" s="3" customFormat="1" ht="13.5" thickBot="1">
      <c r="A288" s="428"/>
      <c r="B288" s="429"/>
      <c r="C288" s="48" t="s">
        <v>3</v>
      </c>
      <c r="D288" s="554">
        <f t="shared" si="84"/>
        <v>14313.16</v>
      </c>
      <c r="E288" s="580">
        <f t="shared" si="84"/>
        <v>0</v>
      </c>
      <c r="F288" s="348">
        <f t="shared" si="84"/>
        <v>0</v>
      </c>
      <c r="G288" s="554">
        <f t="shared" si="84"/>
        <v>0</v>
      </c>
      <c r="H288" s="348">
        <f t="shared" si="84"/>
        <v>7495.33</v>
      </c>
      <c r="I288" s="554">
        <f t="shared" si="84"/>
        <v>0</v>
      </c>
      <c r="J288" s="312">
        <f t="shared" si="83"/>
        <v>21808.489999999998</v>
      </c>
    </row>
    <row r="289" spans="1:10" s="3" customFormat="1" ht="13.5" thickBot="1">
      <c r="A289" s="428"/>
      <c r="B289" s="429"/>
      <c r="C289" s="63" t="s">
        <v>175</v>
      </c>
      <c r="D289" s="349">
        <f>D284+D285-D286</f>
        <v>2856.470000000001</v>
      </c>
      <c r="E289" s="570"/>
      <c r="F289" s="558"/>
      <c r="G289" s="349"/>
      <c r="H289" s="558">
        <f>H284+H285-H286</f>
        <v>2135.879999999999</v>
      </c>
      <c r="I289" s="349"/>
      <c r="J289" s="350">
        <f t="shared" si="83"/>
        <v>4992.35</v>
      </c>
    </row>
    <row r="290" spans="1:10" s="3" customFormat="1" ht="13.5" thickBot="1">
      <c r="A290" s="428" t="s">
        <v>37</v>
      </c>
      <c r="B290" s="429" t="s">
        <v>27</v>
      </c>
      <c r="C290" s="49" t="s">
        <v>167</v>
      </c>
      <c r="D290" s="556"/>
      <c r="E290" s="582"/>
      <c r="F290" s="560"/>
      <c r="G290" s="556"/>
      <c r="H290" s="317">
        <v>3135.78</v>
      </c>
      <c r="I290" s="556"/>
      <c r="J290" s="311">
        <f t="shared" si="83"/>
        <v>3135.78</v>
      </c>
    </row>
    <row r="291" spans="1:10" s="3" customFormat="1" ht="13.5" thickBot="1">
      <c r="A291" s="428"/>
      <c r="B291" s="429"/>
      <c r="C291" s="48" t="s">
        <v>1</v>
      </c>
      <c r="D291" s="557"/>
      <c r="E291" s="583"/>
      <c r="F291" s="561"/>
      <c r="G291" s="557"/>
      <c r="H291" s="310">
        <v>10800</v>
      </c>
      <c r="I291" s="557"/>
      <c r="J291" s="312">
        <f t="shared" si="83"/>
        <v>10800</v>
      </c>
    </row>
    <row r="292" spans="1:10" s="3" customFormat="1" ht="13.5" thickBot="1">
      <c r="A292" s="428"/>
      <c r="B292" s="429"/>
      <c r="C292" s="50" t="s">
        <v>2</v>
      </c>
      <c r="D292" s="557"/>
      <c r="E292" s="583"/>
      <c r="F292" s="561"/>
      <c r="G292" s="557"/>
      <c r="H292" s="310">
        <v>11161.53</v>
      </c>
      <c r="I292" s="557"/>
      <c r="J292" s="312">
        <f t="shared" si="83"/>
        <v>11161.53</v>
      </c>
    </row>
    <row r="293" spans="1:10" s="3" customFormat="1" ht="13.5" thickBot="1">
      <c r="A293" s="428"/>
      <c r="B293" s="429"/>
      <c r="C293" s="48" t="s">
        <v>4</v>
      </c>
      <c r="D293" s="554">
        <f aca="true" t="shared" si="85" ref="D293:I294">+D291</f>
        <v>0</v>
      </c>
      <c r="E293" s="580">
        <f t="shared" si="85"/>
        <v>0</v>
      </c>
      <c r="F293" s="348">
        <f t="shared" si="85"/>
        <v>0</v>
      </c>
      <c r="G293" s="554">
        <f t="shared" si="85"/>
        <v>0</v>
      </c>
      <c r="H293" s="348">
        <f t="shared" si="85"/>
        <v>10800</v>
      </c>
      <c r="I293" s="554">
        <f t="shared" si="85"/>
        <v>0</v>
      </c>
      <c r="J293" s="312">
        <f t="shared" si="83"/>
        <v>10800</v>
      </c>
    </row>
    <row r="294" spans="1:10" s="3" customFormat="1" ht="13.5" thickBot="1">
      <c r="A294" s="428"/>
      <c r="B294" s="429"/>
      <c r="C294" s="48" t="s">
        <v>3</v>
      </c>
      <c r="D294" s="554">
        <f t="shared" si="85"/>
        <v>0</v>
      </c>
      <c r="E294" s="580">
        <f t="shared" si="85"/>
        <v>0</v>
      </c>
      <c r="F294" s="348">
        <f t="shared" si="85"/>
        <v>0</v>
      </c>
      <c r="G294" s="554">
        <f t="shared" si="85"/>
        <v>0</v>
      </c>
      <c r="H294" s="348">
        <f t="shared" si="85"/>
        <v>11161.53</v>
      </c>
      <c r="I294" s="554">
        <f t="shared" si="85"/>
        <v>0</v>
      </c>
      <c r="J294" s="312">
        <f t="shared" si="83"/>
        <v>11161.53</v>
      </c>
    </row>
    <row r="295" spans="1:10" s="3" customFormat="1" ht="13.5" thickBot="1">
      <c r="A295" s="428"/>
      <c r="B295" s="429"/>
      <c r="C295" s="63" t="s">
        <v>175</v>
      </c>
      <c r="D295" s="349"/>
      <c r="E295" s="570"/>
      <c r="F295" s="558"/>
      <c r="G295" s="349"/>
      <c r="H295" s="93">
        <f>H290+H291-H292</f>
        <v>2774.25</v>
      </c>
      <c r="I295" s="574"/>
      <c r="J295" s="350">
        <f t="shared" si="83"/>
        <v>2774.25</v>
      </c>
    </row>
    <row r="296" spans="1:10" s="24" customFormat="1" ht="13.5" thickBot="1">
      <c r="A296" s="428" t="s">
        <v>49</v>
      </c>
      <c r="B296" s="429" t="s">
        <v>27</v>
      </c>
      <c r="C296" s="49" t="s">
        <v>167</v>
      </c>
      <c r="D296" s="555">
        <v>3890.9</v>
      </c>
      <c r="E296" s="581">
        <v>13869.96</v>
      </c>
      <c r="F296" s="559">
        <v>1924.84</v>
      </c>
      <c r="G296" s="555">
        <v>3385.01</v>
      </c>
      <c r="H296" s="559">
        <v>1434.22</v>
      </c>
      <c r="I296" s="555">
        <v>5051.44</v>
      </c>
      <c r="J296" s="313">
        <f t="shared" si="83"/>
        <v>29556.370000000003</v>
      </c>
    </row>
    <row r="297" spans="1:10" s="24" customFormat="1" ht="13.5" thickBot="1">
      <c r="A297" s="428"/>
      <c r="B297" s="429"/>
      <c r="C297" s="48" t="s">
        <v>1</v>
      </c>
      <c r="D297" s="554">
        <v>15840</v>
      </c>
      <c r="E297" s="580">
        <v>46800</v>
      </c>
      <c r="F297" s="348">
        <v>15840</v>
      </c>
      <c r="G297" s="554">
        <v>43200</v>
      </c>
      <c r="H297" s="348">
        <v>20880</v>
      </c>
      <c r="I297" s="554">
        <v>42480</v>
      </c>
      <c r="J297" s="312">
        <f t="shared" si="83"/>
        <v>185040</v>
      </c>
    </row>
    <row r="298" spans="1:10" s="24" customFormat="1" ht="13.5" thickBot="1">
      <c r="A298" s="428"/>
      <c r="B298" s="429"/>
      <c r="C298" s="50" t="s">
        <v>2</v>
      </c>
      <c r="D298" s="554">
        <v>15672.45</v>
      </c>
      <c r="E298" s="580">
        <v>42425.93</v>
      </c>
      <c r="F298" s="348">
        <v>15842.39</v>
      </c>
      <c r="G298" s="554">
        <v>42743.76</v>
      </c>
      <c r="H298" s="348">
        <v>19770.65</v>
      </c>
      <c r="I298" s="554">
        <v>42212.4</v>
      </c>
      <c r="J298" s="312">
        <f t="shared" si="83"/>
        <v>178667.58000000002</v>
      </c>
    </row>
    <row r="299" spans="1:10" s="24" customFormat="1" ht="13.5" thickBot="1">
      <c r="A299" s="428"/>
      <c r="B299" s="429"/>
      <c r="C299" s="48" t="s">
        <v>4</v>
      </c>
      <c r="D299" s="554">
        <f aca="true" t="shared" si="86" ref="D299:I300">+D297</f>
        <v>15840</v>
      </c>
      <c r="E299" s="580">
        <f t="shared" si="86"/>
        <v>46800</v>
      </c>
      <c r="F299" s="348">
        <f t="shared" si="86"/>
        <v>15840</v>
      </c>
      <c r="G299" s="554">
        <f t="shared" si="86"/>
        <v>43200</v>
      </c>
      <c r="H299" s="348">
        <f t="shared" si="86"/>
        <v>20880</v>
      </c>
      <c r="I299" s="554">
        <f t="shared" si="86"/>
        <v>42480</v>
      </c>
      <c r="J299" s="312">
        <f t="shared" si="83"/>
        <v>185040</v>
      </c>
    </row>
    <row r="300" spans="1:10" s="24" customFormat="1" ht="13.5" thickBot="1">
      <c r="A300" s="428"/>
      <c r="B300" s="429"/>
      <c r="C300" s="48" t="s">
        <v>3</v>
      </c>
      <c r="D300" s="554">
        <f t="shared" si="86"/>
        <v>15672.45</v>
      </c>
      <c r="E300" s="580">
        <f t="shared" si="86"/>
        <v>42425.93</v>
      </c>
      <c r="F300" s="348">
        <f t="shared" si="86"/>
        <v>15842.39</v>
      </c>
      <c r="G300" s="554">
        <f t="shared" si="86"/>
        <v>42743.76</v>
      </c>
      <c r="H300" s="348">
        <f t="shared" si="86"/>
        <v>19770.65</v>
      </c>
      <c r="I300" s="554">
        <f t="shared" si="86"/>
        <v>42212.4</v>
      </c>
      <c r="J300" s="312">
        <f t="shared" si="83"/>
        <v>178667.58000000002</v>
      </c>
    </row>
    <row r="301" spans="1:10" s="3" customFormat="1" ht="13.5" thickBot="1">
      <c r="A301" s="428"/>
      <c r="B301" s="429"/>
      <c r="C301" s="63" t="s">
        <v>175</v>
      </c>
      <c r="D301" s="349">
        <f aca="true" t="shared" si="87" ref="D301:I301">D296+D297-D298</f>
        <v>4058.4500000000007</v>
      </c>
      <c r="E301" s="570">
        <f t="shared" si="87"/>
        <v>18244.03</v>
      </c>
      <c r="F301" s="558">
        <f t="shared" si="87"/>
        <v>1922.4500000000007</v>
      </c>
      <c r="G301" s="349">
        <f t="shared" si="87"/>
        <v>3841.25</v>
      </c>
      <c r="H301" s="558">
        <f t="shared" si="87"/>
        <v>2543.5699999999997</v>
      </c>
      <c r="I301" s="349">
        <f t="shared" si="87"/>
        <v>5319.040000000001</v>
      </c>
      <c r="J301" s="350">
        <f t="shared" si="83"/>
        <v>35928.79</v>
      </c>
    </row>
    <row r="302" spans="1:10" s="24" customFormat="1" ht="12.75">
      <c r="A302" s="393" t="s">
        <v>190</v>
      </c>
      <c r="B302" s="393"/>
      <c r="C302" s="376"/>
      <c r="D302" s="353"/>
      <c r="E302" s="550"/>
      <c r="F302" s="563"/>
      <c r="G302" s="353"/>
      <c r="H302" s="563"/>
      <c r="I302" s="353"/>
      <c r="J302" s="352"/>
    </row>
    <row r="303" spans="1:10" s="24" customFormat="1" ht="13.5" thickBot="1">
      <c r="A303" s="426"/>
      <c r="B303" s="426"/>
      <c r="C303" s="578" t="s">
        <v>167</v>
      </c>
      <c r="D303" s="314">
        <f>D212+D218+D230+D236+D284+D290+D296</f>
        <v>7701.610000000001</v>
      </c>
      <c r="E303" s="572">
        <f>E212+E218+E230+E236+E284+E290+E296+E224</f>
        <v>114509.70999999999</v>
      </c>
      <c r="F303" s="564">
        <f>F212+F218+F230+F236+F284+F290+F296</f>
        <v>2971.8999999999996</v>
      </c>
      <c r="G303" s="314">
        <f>G212+G218+G230+G236+G284+G290+G296+G224</f>
        <v>13261.16</v>
      </c>
      <c r="H303" s="564">
        <f>H212+H218+H230+H236+H284+H290+H296</f>
        <v>5570.13</v>
      </c>
      <c r="I303" s="314">
        <f aca="true" t="shared" si="88" ref="I303:J305">I212+I218+I230+I236+I284+I290+I296+I224</f>
        <v>45411.81</v>
      </c>
      <c r="J303" s="314">
        <f t="shared" si="88"/>
        <v>189426.31999999998</v>
      </c>
    </row>
    <row r="304" spans="1:10" s="24" customFormat="1" ht="13.5" thickBot="1">
      <c r="A304" s="427"/>
      <c r="B304" s="427"/>
      <c r="C304" s="338" t="s">
        <v>1</v>
      </c>
      <c r="D304" s="315">
        <f>D213+D219+D231+D237+D285+D291+D297</f>
        <v>44175.229999999996</v>
      </c>
      <c r="E304" s="551">
        <f>E213+E219+E231+E237+E285+E291+E297+E225</f>
        <v>365207.45999999996</v>
      </c>
      <c r="F304" s="565">
        <f>F213+F219+F231+F237+F285+F291+F297</f>
        <v>22941.32</v>
      </c>
      <c r="G304" s="315">
        <f>G213+G219+G231+G237+G285+G291+G297+G225</f>
        <v>314111.25</v>
      </c>
      <c r="H304" s="565">
        <f>H213+H219+H231+H237+H285+H291+H297</f>
        <v>52929</v>
      </c>
      <c r="I304" s="315">
        <f t="shared" si="88"/>
        <v>375462.84</v>
      </c>
      <c r="J304" s="315">
        <f t="shared" si="88"/>
        <v>1174827.1</v>
      </c>
    </row>
    <row r="305" spans="1:12" s="24" customFormat="1" ht="13.5" thickBot="1">
      <c r="A305" s="427"/>
      <c r="B305" s="427"/>
      <c r="C305" s="338" t="s">
        <v>2</v>
      </c>
      <c r="D305" s="315">
        <f>D214+D220+D232+D238+D286+D292+D298</f>
        <v>41865.45</v>
      </c>
      <c r="E305" s="551">
        <f>E214+E220+E232+E238+E286+E292+E298+E226</f>
        <v>340390.45</v>
      </c>
      <c r="F305" s="565">
        <f>F214+F220+F232+F238+F286+F292+F298</f>
        <v>23132.879999999997</v>
      </c>
      <c r="G305" s="315">
        <f>G214+G220+G232+G238+G286+G292+G298+G226</f>
        <v>306952.42000000004</v>
      </c>
      <c r="H305" s="565">
        <f>H214+H220+H232+H238+H286+H292+H298</f>
        <v>49834.14</v>
      </c>
      <c r="I305" s="315">
        <f t="shared" si="88"/>
        <v>362641.29</v>
      </c>
      <c r="J305" s="315">
        <f t="shared" si="88"/>
        <v>1124816.6300000001</v>
      </c>
      <c r="L305" s="28"/>
    </row>
    <row r="306" spans="1:10" s="24" customFormat="1" ht="13.5" thickBot="1">
      <c r="A306" s="427"/>
      <c r="B306" s="427"/>
      <c r="C306" s="338" t="s">
        <v>4</v>
      </c>
      <c r="D306" s="315">
        <f aca="true" t="shared" si="89" ref="D306:J307">D215+D221+D227+D233+D239+D287+D293+D299</f>
        <v>44175.229999999996</v>
      </c>
      <c r="E306" s="551">
        <f t="shared" si="89"/>
        <v>365207.45999999996</v>
      </c>
      <c r="F306" s="565">
        <f t="shared" si="89"/>
        <v>22941.32</v>
      </c>
      <c r="G306" s="315">
        <f t="shared" si="89"/>
        <v>314111.25</v>
      </c>
      <c r="H306" s="565">
        <f t="shared" si="89"/>
        <v>52929</v>
      </c>
      <c r="I306" s="315">
        <f t="shared" si="89"/>
        <v>375462.84</v>
      </c>
      <c r="J306" s="315">
        <f t="shared" si="89"/>
        <v>1174827.1</v>
      </c>
    </row>
    <row r="307" spans="1:10" s="24" customFormat="1" ht="13.5" thickBot="1">
      <c r="A307" s="427"/>
      <c r="B307" s="427"/>
      <c r="C307" s="338" t="s">
        <v>3</v>
      </c>
      <c r="D307" s="315">
        <f t="shared" si="89"/>
        <v>41865.45</v>
      </c>
      <c r="E307" s="551">
        <f t="shared" si="89"/>
        <v>340390.44999999995</v>
      </c>
      <c r="F307" s="565">
        <f t="shared" si="89"/>
        <v>23132.879999999997</v>
      </c>
      <c r="G307" s="315">
        <f t="shared" si="89"/>
        <v>306952.42000000004</v>
      </c>
      <c r="H307" s="565">
        <f t="shared" si="89"/>
        <v>49834.14</v>
      </c>
      <c r="I307" s="315">
        <f t="shared" si="89"/>
        <v>362641.29000000004</v>
      </c>
      <c r="J307" s="315">
        <f t="shared" si="89"/>
        <v>1124816.6300000001</v>
      </c>
    </row>
    <row r="308" spans="1:10" s="3" customFormat="1" ht="13.5" thickBot="1">
      <c r="A308" s="427"/>
      <c r="B308" s="427"/>
      <c r="C308" s="346" t="s">
        <v>175</v>
      </c>
      <c r="D308" s="316">
        <f>D217+D223+D235+D241+D289+D295+D301</f>
        <v>10011.390000000001</v>
      </c>
      <c r="E308" s="571">
        <f>E217+E223+E235+E241+E289+E295+E301+E229</f>
        <v>139326.71999999997</v>
      </c>
      <c r="F308" s="566">
        <f>F217+F223+F235+F241+F289+F295+F301</f>
        <v>2780.340000000002</v>
      </c>
      <c r="G308" s="316">
        <f>G217+G223+G235+G241+G289+G295+G301+G229</f>
        <v>20419.990000000013</v>
      </c>
      <c r="H308" s="566">
        <f>H217+H223+H235+H241+H289+H295+H301</f>
        <v>8664.99</v>
      </c>
      <c r="I308" s="316">
        <f>I217+I223+I235+I241+I289+I295+I301+I229</f>
        <v>58233.36000000002</v>
      </c>
      <c r="J308" s="316">
        <f>J217+J223+J235+J241+J289+J295+J301+J229</f>
        <v>239436.79</v>
      </c>
    </row>
    <row r="309" spans="1:10" s="24" customFormat="1" ht="12.75">
      <c r="A309" s="393" t="s">
        <v>192</v>
      </c>
      <c r="B309" s="393"/>
      <c r="C309" s="376"/>
      <c r="D309" s="353"/>
      <c r="E309" s="550"/>
      <c r="F309" s="563"/>
      <c r="G309" s="353"/>
      <c r="H309" s="563"/>
      <c r="I309" s="353"/>
      <c r="J309" s="352"/>
    </row>
    <row r="310" spans="1:10" s="24" customFormat="1" ht="13.5" thickBot="1">
      <c r="A310" s="426"/>
      <c r="B310" s="426"/>
      <c r="C310" s="578" t="s">
        <v>167</v>
      </c>
      <c r="D310" s="315">
        <f aca="true" t="shared" si="90" ref="D310:D315">D103+D206+D303</f>
        <v>923378.1</v>
      </c>
      <c r="E310" s="551">
        <f aca="true" t="shared" si="91" ref="E310:J310">E103+E206+E303</f>
        <v>1994688.7300000002</v>
      </c>
      <c r="F310" s="565">
        <f t="shared" si="91"/>
        <v>218694.08</v>
      </c>
      <c r="G310" s="315">
        <f t="shared" si="91"/>
        <v>209167.12000000002</v>
      </c>
      <c r="H310" s="565">
        <f t="shared" si="91"/>
        <v>519859.0800000001</v>
      </c>
      <c r="I310" s="315">
        <f t="shared" si="91"/>
        <v>334377.54000000004</v>
      </c>
      <c r="J310" s="314">
        <f t="shared" si="91"/>
        <v>4200164.65</v>
      </c>
    </row>
    <row r="311" spans="1:10" s="24" customFormat="1" ht="13.5" thickBot="1">
      <c r="A311" s="427"/>
      <c r="B311" s="427"/>
      <c r="C311" s="338" t="s">
        <v>1</v>
      </c>
      <c r="D311" s="315">
        <f t="shared" si="90"/>
        <v>4200404.100000001</v>
      </c>
      <c r="E311" s="551">
        <f aca="true" t="shared" si="92" ref="E311:J311">E104+E207+E304</f>
        <v>6233332.660000001</v>
      </c>
      <c r="F311" s="565">
        <f t="shared" si="92"/>
        <v>2224545.47</v>
      </c>
      <c r="G311" s="315">
        <f t="shared" si="92"/>
        <v>5761986.7299999995</v>
      </c>
      <c r="H311" s="565">
        <f t="shared" si="92"/>
        <v>3189636.7699999996</v>
      </c>
      <c r="I311" s="315">
        <f t="shared" si="92"/>
        <v>5037308.52</v>
      </c>
      <c r="J311" s="315">
        <f t="shared" si="92"/>
        <v>26647214.25</v>
      </c>
    </row>
    <row r="312" spans="1:10" s="24" customFormat="1" ht="13.5" thickBot="1">
      <c r="A312" s="427"/>
      <c r="B312" s="427"/>
      <c r="C312" s="338" t="s">
        <v>2</v>
      </c>
      <c r="D312" s="315">
        <f t="shared" si="90"/>
        <v>3741290.1900000004</v>
      </c>
      <c r="E312" s="551">
        <f aca="true" t="shared" si="93" ref="E312:J312">E105+E208+E305</f>
        <v>5218628.04</v>
      </c>
      <c r="F312" s="565">
        <f t="shared" si="93"/>
        <v>2110446.49</v>
      </c>
      <c r="G312" s="315">
        <f t="shared" si="93"/>
        <v>5451670.930000001</v>
      </c>
      <c r="H312" s="565">
        <f t="shared" si="93"/>
        <v>2924199.1100000003</v>
      </c>
      <c r="I312" s="315">
        <f t="shared" si="93"/>
        <v>5520509.909999999</v>
      </c>
      <c r="J312" s="315">
        <f t="shared" si="93"/>
        <v>24966744.669999998</v>
      </c>
    </row>
    <row r="313" spans="1:10" s="24" customFormat="1" ht="13.5" thickBot="1">
      <c r="A313" s="427"/>
      <c r="B313" s="427"/>
      <c r="C313" s="338" t="s">
        <v>4</v>
      </c>
      <c r="D313" s="315">
        <f t="shared" si="90"/>
        <v>4116982.23</v>
      </c>
      <c r="E313" s="551">
        <f aca="true" t="shared" si="94" ref="E313:J313">E106+E209+E306</f>
        <v>6087354.350000001</v>
      </c>
      <c r="F313" s="565">
        <f t="shared" si="94"/>
        <v>2245793.6300000004</v>
      </c>
      <c r="G313" s="315">
        <f t="shared" si="94"/>
        <v>5580147.65</v>
      </c>
      <c r="H313" s="565">
        <f t="shared" si="94"/>
        <v>3114562.159999999</v>
      </c>
      <c r="I313" s="315">
        <f t="shared" si="94"/>
        <v>4610459.739999999</v>
      </c>
      <c r="J313" s="315">
        <f t="shared" si="94"/>
        <v>25755299.76</v>
      </c>
    </row>
    <row r="314" spans="1:10" s="24" customFormat="1" ht="13.5" thickBot="1">
      <c r="A314" s="427"/>
      <c r="B314" s="427"/>
      <c r="C314" s="338" t="s">
        <v>3</v>
      </c>
      <c r="D314" s="315">
        <f t="shared" si="90"/>
        <v>3741290.1900000004</v>
      </c>
      <c r="E314" s="551">
        <f aca="true" t="shared" si="95" ref="E314:J314">E107+E210+E307</f>
        <v>5218628.04</v>
      </c>
      <c r="F314" s="565">
        <f t="shared" si="95"/>
        <v>2110446.49</v>
      </c>
      <c r="G314" s="315">
        <f t="shared" si="95"/>
        <v>5451670.930000001</v>
      </c>
      <c r="H314" s="565">
        <f t="shared" si="95"/>
        <v>2924199.1100000003</v>
      </c>
      <c r="I314" s="315">
        <f t="shared" si="95"/>
        <v>5520509.909999999</v>
      </c>
      <c r="J314" s="315">
        <f t="shared" si="95"/>
        <v>24966744.669999998</v>
      </c>
    </row>
    <row r="315" spans="1:10" s="3" customFormat="1" ht="13.5" thickBot="1">
      <c r="A315" s="427"/>
      <c r="B315" s="427"/>
      <c r="C315" s="346" t="s">
        <v>175</v>
      </c>
      <c r="D315" s="354">
        <f t="shared" si="90"/>
        <v>1382492.0099999995</v>
      </c>
      <c r="E315" s="552">
        <f aca="true" t="shared" si="96" ref="E315:J315">E108+E211+E308</f>
        <v>3009393.3500000006</v>
      </c>
      <c r="F315" s="567">
        <f t="shared" si="96"/>
        <v>332793.0600000001</v>
      </c>
      <c r="G315" s="354">
        <f t="shared" si="96"/>
        <v>519482.9199999996</v>
      </c>
      <c r="H315" s="567">
        <f t="shared" si="96"/>
        <v>785296.74</v>
      </c>
      <c r="I315" s="354">
        <f t="shared" si="96"/>
        <v>-148823.84999999983</v>
      </c>
      <c r="J315" s="316">
        <f t="shared" si="96"/>
        <v>5880634.230000001</v>
      </c>
    </row>
    <row r="316" ht="12.75">
      <c r="J316" s="319"/>
    </row>
  </sheetData>
  <sheetProtection/>
  <mergeCells count="88">
    <mergeCell ref="A2:J2"/>
    <mergeCell ref="A1:J1"/>
    <mergeCell ref="A310:B315"/>
    <mergeCell ref="B169:B174"/>
    <mergeCell ref="B175:B180"/>
    <mergeCell ref="A169:A198"/>
    <mergeCell ref="A303:B308"/>
    <mergeCell ref="A302:C302"/>
    <mergeCell ref="B212:B217"/>
    <mergeCell ref="B224:B229"/>
    <mergeCell ref="A309:C309"/>
    <mergeCell ref="B78:B83"/>
    <mergeCell ref="B115:B120"/>
    <mergeCell ref="B90:B95"/>
    <mergeCell ref="B96:B101"/>
    <mergeCell ref="A236:A241"/>
    <mergeCell ref="A139:A144"/>
    <mergeCell ref="B139:B144"/>
    <mergeCell ref="B290:B295"/>
    <mergeCell ref="A242:A247"/>
    <mergeCell ref="J3:J4"/>
    <mergeCell ref="B6:B11"/>
    <mergeCell ref="B12:B17"/>
    <mergeCell ref="C3:C4"/>
    <mergeCell ref="A3:B5"/>
    <mergeCell ref="D3:I3"/>
    <mergeCell ref="B84:B89"/>
    <mergeCell ref="B30:B35"/>
    <mergeCell ref="B54:B59"/>
    <mergeCell ref="B36:B41"/>
    <mergeCell ref="B72:B77"/>
    <mergeCell ref="B24:B29"/>
    <mergeCell ref="B18:B23"/>
    <mergeCell ref="A6:A23"/>
    <mergeCell ref="A24:A41"/>
    <mergeCell ref="A296:A301"/>
    <mergeCell ref="B230:B235"/>
    <mergeCell ref="B218:B223"/>
    <mergeCell ref="A218:A223"/>
    <mergeCell ref="A290:A295"/>
    <mergeCell ref="B242:B247"/>
    <mergeCell ref="B236:B241"/>
    <mergeCell ref="B296:B301"/>
    <mergeCell ref="B260:B265"/>
    <mergeCell ref="A224:A229"/>
    <mergeCell ref="A102:C102"/>
    <mergeCell ref="A260:A265"/>
    <mergeCell ref="B272:B277"/>
    <mergeCell ref="A266:A271"/>
    <mergeCell ref="A206:B211"/>
    <mergeCell ref="B145:B150"/>
    <mergeCell ref="B193:B198"/>
    <mergeCell ref="B181:B186"/>
    <mergeCell ref="A205:C205"/>
    <mergeCell ref="A212:A217"/>
    <mergeCell ref="B278:B283"/>
    <mergeCell ref="A199:A204"/>
    <mergeCell ref="B133:B138"/>
    <mergeCell ref="B199:B204"/>
    <mergeCell ref="A145:A150"/>
    <mergeCell ref="A151:A168"/>
    <mergeCell ref="B151:B156"/>
    <mergeCell ref="A230:A235"/>
    <mergeCell ref="B127:B132"/>
    <mergeCell ref="A284:A289"/>
    <mergeCell ref="B254:B259"/>
    <mergeCell ref="B284:B289"/>
    <mergeCell ref="B266:B271"/>
    <mergeCell ref="A272:A277"/>
    <mergeCell ref="A254:A259"/>
    <mergeCell ref="A278:A283"/>
    <mergeCell ref="A248:A253"/>
    <mergeCell ref="B248:B253"/>
    <mergeCell ref="A66:A77"/>
    <mergeCell ref="B66:B71"/>
    <mergeCell ref="A78:A101"/>
    <mergeCell ref="B187:B192"/>
    <mergeCell ref="B157:B162"/>
    <mergeCell ref="B163:B168"/>
    <mergeCell ref="B121:B126"/>
    <mergeCell ref="A103:B108"/>
    <mergeCell ref="A109:A138"/>
    <mergeCell ref="B109:B114"/>
    <mergeCell ref="A42:A53"/>
    <mergeCell ref="B42:B47"/>
    <mergeCell ref="B48:B53"/>
    <mergeCell ref="B60:B65"/>
    <mergeCell ref="A54:A65"/>
  </mergeCells>
  <printOptions/>
  <pageMargins left="0.4724409448818898" right="0.1968503937007874" top="0.15748031496062992" bottom="0.1968503937007874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9"/>
  <sheetViews>
    <sheetView zoomScalePageLayoutView="0" workbookViewId="0" topLeftCell="A1">
      <pane xSplit="3" ySplit="5" topLeftCell="D2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57" sqref="H257"/>
    </sheetView>
  </sheetViews>
  <sheetFormatPr defaultColWidth="9.00390625" defaultRowHeight="12.75"/>
  <cols>
    <col min="1" max="1" width="6.625" style="7" customWidth="1"/>
    <col min="2" max="2" width="8.875" style="7" customWidth="1"/>
    <col min="3" max="3" width="22.875" style="27" customWidth="1"/>
    <col min="4" max="4" width="12.125" style="27" customWidth="1"/>
    <col min="5" max="5" width="13.00390625" style="27" customWidth="1"/>
    <col min="6" max="6" width="13.875" style="27" customWidth="1"/>
    <col min="7" max="7" width="14.375" style="27" customWidth="1"/>
    <col min="8" max="8" width="14.625" style="27" customWidth="1"/>
    <col min="9" max="9" width="13.25390625" style="4" customWidth="1"/>
    <col min="10" max="16384" width="9.125" style="27" customWidth="1"/>
  </cols>
  <sheetData>
    <row r="1" spans="1:9" s="10" customFormat="1" ht="15.75">
      <c r="A1" s="320"/>
      <c r="B1" s="425" t="s">
        <v>198</v>
      </c>
      <c r="C1" s="425"/>
      <c r="D1" s="425"/>
      <c r="E1" s="425"/>
      <c r="F1" s="425"/>
      <c r="G1" s="425"/>
      <c r="H1" s="425"/>
      <c r="I1" s="425"/>
    </row>
    <row r="2" spans="1:9" s="10" customFormat="1" ht="16.5" thickBot="1">
      <c r="A2" s="424"/>
      <c r="B2" s="424"/>
      <c r="C2" s="424"/>
      <c r="D2" s="424"/>
      <c r="E2" s="424"/>
      <c r="F2" s="424"/>
      <c r="G2" s="424"/>
      <c r="H2" s="424"/>
      <c r="I2" s="424"/>
    </row>
    <row r="3" spans="1:9" s="24" customFormat="1" ht="12.75" customHeight="1" thickBot="1">
      <c r="A3" s="480" t="s">
        <v>191</v>
      </c>
      <c r="B3" s="481"/>
      <c r="C3" s="413" t="s">
        <v>185</v>
      </c>
      <c r="D3" s="474" t="s">
        <v>0</v>
      </c>
      <c r="E3" s="474"/>
      <c r="F3" s="474"/>
      <c r="G3" s="474"/>
      <c r="H3" s="474"/>
      <c r="I3" s="478" t="s">
        <v>48</v>
      </c>
    </row>
    <row r="4" spans="1:9" s="25" customFormat="1" ht="30" customHeight="1" thickBot="1">
      <c r="A4" s="482"/>
      <c r="B4" s="483"/>
      <c r="C4" s="414"/>
      <c r="D4" s="330" t="s">
        <v>63</v>
      </c>
      <c r="E4" s="331" t="s">
        <v>64</v>
      </c>
      <c r="F4" s="331" t="s">
        <v>66</v>
      </c>
      <c r="G4" s="331" t="s">
        <v>65</v>
      </c>
      <c r="H4" s="329" t="s">
        <v>89</v>
      </c>
      <c r="I4" s="479"/>
    </row>
    <row r="5" spans="1:9" s="24" customFormat="1" ht="13.5" customHeight="1" thickBot="1">
      <c r="A5" s="484"/>
      <c r="B5" s="485"/>
      <c r="C5" s="143" t="s">
        <v>9</v>
      </c>
      <c r="D5" s="144">
        <v>1</v>
      </c>
      <c r="E5" s="144">
        <v>2</v>
      </c>
      <c r="F5" s="144">
        <v>3</v>
      </c>
      <c r="G5" s="144">
        <v>4</v>
      </c>
      <c r="H5" s="144">
        <v>5</v>
      </c>
      <c r="I5" s="145">
        <v>6</v>
      </c>
    </row>
    <row r="6" spans="1:9" s="24" customFormat="1" ht="12.75">
      <c r="A6" s="390" t="s">
        <v>5</v>
      </c>
      <c r="B6" s="475" t="s">
        <v>6</v>
      </c>
      <c r="C6" s="135" t="s">
        <v>175</v>
      </c>
      <c r="D6" s="68">
        <v>41212.62</v>
      </c>
      <c r="E6" s="68">
        <v>50148.67</v>
      </c>
      <c r="F6" s="68">
        <v>126600.93</v>
      </c>
      <c r="G6" s="68">
        <v>60036.98</v>
      </c>
      <c r="H6" s="68">
        <v>48978.41</v>
      </c>
      <c r="I6" s="142">
        <f aca="true" t="shared" si="0" ref="I6:I82">SUM(D6:H6)</f>
        <v>326977.61</v>
      </c>
    </row>
    <row r="7" spans="1:9" s="24" customFormat="1" ht="12.75">
      <c r="A7" s="391"/>
      <c r="B7" s="471"/>
      <c r="C7" s="128" t="s">
        <v>1</v>
      </c>
      <c r="D7" s="69">
        <v>142732.59</v>
      </c>
      <c r="E7" s="69">
        <v>262580.15</v>
      </c>
      <c r="F7" s="69">
        <v>575421.2</v>
      </c>
      <c r="G7" s="69">
        <v>261043.11</v>
      </c>
      <c r="H7" s="69">
        <v>213256.47</v>
      </c>
      <c r="I7" s="139">
        <f t="shared" si="0"/>
        <v>1455033.5199999998</v>
      </c>
    </row>
    <row r="8" spans="1:9" s="24" customFormat="1" ht="12.75">
      <c r="A8" s="391"/>
      <c r="B8" s="471"/>
      <c r="C8" s="128" t="s">
        <v>2</v>
      </c>
      <c r="D8" s="69">
        <v>131733.76</v>
      </c>
      <c r="E8" s="69">
        <v>266649.83</v>
      </c>
      <c r="F8" s="69">
        <v>456591.56</v>
      </c>
      <c r="G8" s="69">
        <v>259866.17</v>
      </c>
      <c r="H8" s="69">
        <v>200511.55</v>
      </c>
      <c r="I8" s="139">
        <f t="shared" si="0"/>
        <v>1315352.87</v>
      </c>
    </row>
    <row r="9" spans="1:9" s="24" customFormat="1" ht="12.75">
      <c r="A9" s="391"/>
      <c r="B9" s="471"/>
      <c r="C9" s="128" t="s">
        <v>4</v>
      </c>
      <c r="D9" s="69">
        <f aca="true" t="shared" si="1" ref="D9:H10">+D7</f>
        <v>142732.59</v>
      </c>
      <c r="E9" s="69">
        <f t="shared" si="1"/>
        <v>262580.15</v>
      </c>
      <c r="F9" s="69">
        <f t="shared" si="1"/>
        <v>575421.2</v>
      </c>
      <c r="G9" s="69">
        <f t="shared" si="1"/>
        <v>261043.11</v>
      </c>
      <c r="H9" s="69">
        <f t="shared" si="1"/>
        <v>213256.47</v>
      </c>
      <c r="I9" s="139">
        <f t="shared" si="0"/>
        <v>1455033.5199999998</v>
      </c>
    </row>
    <row r="10" spans="1:9" s="24" customFormat="1" ht="12.75">
      <c r="A10" s="391"/>
      <c r="B10" s="471"/>
      <c r="C10" s="128" t="s">
        <v>3</v>
      </c>
      <c r="D10" s="69">
        <f t="shared" si="1"/>
        <v>131733.76</v>
      </c>
      <c r="E10" s="69">
        <f t="shared" si="1"/>
        <v>266649.83</v>
      </c>
      <c r="F10" s="69">
        <f t="shared" si="1"/>
        <v>456591.56</v>
      </c>
      <c r="G10" s="69">
        <f t="shared" si="1"/>
        <v>259866.17</v>
      </c>
      <c r="H10" s="69">
        <f t="shared" si="1"/>
        <v>200511.55</v>
      </c>
      <c r="I10" s="139">
        <f t="shared" si="0"/>
        <v>1315352.87</v>
      </c>
    </row>
    <row r="11" spans="1:9" s="3" customFormat="1" ht="13.5" thickBot="1">
      <c r="A11" s="391"/>
      <c r="B11" s="472"/>
      <c r="C11" s="140" t="s">
        <v>199</v>
      </c>
      <c r="D11" s="70">
        <f>D6+D7-D8</f>
        <v>52211.44999999998</v>
      </c>
      <c r="E11" s="70">
        <f>E6+E7-E8</f>
        <v>46078.98999999999</v>
      </c>
      <c r="F11" s="70">
        <f>F6+F7-F8</f>
        <v>245430.5699999999</v>
      </c>
      <c r="G11" s="70">
        <f>G6+G7-G8</f>
        <v>61213.919999999955</v>
      </c>
      <c r="H11" s="70">
        <f>H6+H7-H8</f>
        <v>61723.330000000016</v>
      </c>
      <c r="I11" s="141">
        <f t="shared" si="0"/>
        <v>466658.25999999983</v>
      </c>
    </row>
    <row r="12" spans="1:9" s="24" customFormat="1" ht="12.75">
      <c r="A12" s="391"/>
      <c r="B12" s="470" t="s">
        <v>7</v>
      </c>
      <c r="C12" s="135" t="s">
        <v>175</v>
      </c>
      <c r="D12" s="137">
        <v>30546.93</v>
      </c>
      <c r="E12" s="137">
        <v>34917.99</v>
      </c>
      <c r="F12" s="137">
        <v>102089.5</v>
      </c>
      <c r="G12" s="137">
        <v>42770.93</v>
      </c>
      <c r="H12" s="137">
        <v>34832.26</v>
      </c>
      <c r="I12" s="138">
        <f t="shared" si="0"/>
        <v>245157.61</v>
      </c>
    </row>
    <row r="13" spans="1:9" s="24" customFormat="1" ht="12.75">
      <c r="A13" s="391"/>
      <c r="B13" s="471"/>
      <c r="C13" s="128" t="s">
        <v>1</v>
      </c>
      <c r="D13" s="69">
        <v>125855.3</v>
      </c>
      <c r="E13" s="69">
        <v>233459.92</v>
      </c>
      <c r="F13" s="69">
        <v>516989.37</v>
      </c>
      <c r="G13" s="69">
        <v>222183.33</v>
      </c>
      <c r="H13" s="69">
        <v>173147.9</v>
      </c>
      <c r="I13" s="139">
        <f t="shared" si="0"/>
        <v>1271635.82</v>
      </c>
    </row>
    <row r="14" spans="1:9" s="24" customFormat="1" ht="12.75">
      <c r="A14" s="391"/>
      <c r="B14" s="471"/>
      <c r="C14" s="128" t="s">
        <v>2</v>
      </c>
      <c r="D14" s="69">
        <v>111208.43</v>
      </c>
      <c r="E14" s="69">
        <v>230864.6</v>
      </c>
      <c r="F14" s="69">
        <v>399088.07</v>
      </c>
      <c r="G14" s="69">
        <v>211805.87</v>
      </c>
      <c r="H14" s="69">
        <v>157320.96</v>
      </c>
      <c r="I14" s="139">
        <f t="shared" si="0"/>
        <v>1110287.9300000002</v>
      </c>
    </row>
    <row r="15" spans="1:9" s="24" customFormat="1" ht="12.75">
      <c r="A15" s="391"/>
      <c r="B15" s="471"/>
      <c r="C15" s="128" t="s">
        <v>4</v>
      </c>
      <c r="D15" s="69">
        <f aca="true" t="shared" si="2" ref="D15:H16">+D13</f>
        <v>125855.3</v>
      </c>
      <c r="E15" s="69">
        <f t="shared" si="2"/>
        <v>233459.92</v>
      </c>
      <c r="F15" s="69">
        <f t="shared" si="2"/>
        <v>516989.37</v>
      </c>
      <c r="G15" s="69">
        <f t="shared" si="2"/>
        <v>222183.33</v>
      </c>
      <c r="H15" s="69">
        <f t="shared" si="2"/>
        <v>173147.9</v>
      </c>
      <c r="I15" s="139">
        <f t="shared" si="0"/>
        <v>1271635.82</v>
      </c>
    </row>
    <row r="16" spans="1:9" s="24" customFormat="1" ht="12.75">
      <c r="A16" s="391"/>
      <c r="B16" s="471"/>
      <c r="C16" s="128" t="s">
        <v>3</v>
      </c>
      <c r="D16" s="69">
        <f t="shared" si="2"/>
        <v>111208.43</v>
      </c>
      <c r="E16" s="69">
        <f t="shared" si="2"/>
        <v>230864.6</v>
      </c>
      <c r="F16" s="69">
        <f t="shared" si="2"/>
        <v>399088.07</v>
      </c>
      <c r="G16" s="69">
        <f t="shared" si="2"/>
        <v>211805.87</v>
      </c>
      <c r="H16" s="69">
        <f t="shared" si="2"/>
        <v>157320.96</v>
      </c>
      <c r="I16" s="139">
        <f t="shared" si="0"/>
        <v>1110287.9300000002</v>
      </c>
    </row>
    <row r="17" spans="1:9" s="3" customFormat="1" ht="13.5" thickBot="1">
      <c r="A17" s="391"/>
      <c r="B17" s="472"/>
      <c r="C17" s="140" t="s">
        <v>199</v>
      </c>
      <c r="D17" s="70">
        <f>D12+D13-D14</f>
        <v>45193.80000000002</v>
      </c>
      <c r="E17" s="70">
        <f>E12+E13-E14</f>
        <v>37513.31000000003</v>
      </c>
      <c r="F17" s="70">
        <f>F12+F13-F14</f>
        <v>219990.8</v>
      </c>
      <c r="G17" s="70">
        <f>G12+G13-G14</f>
        <v>53148.390000000014</v>
      </c>
      <c r="H17" s="70">
        <f>H12+H13-H14</f>
        <v>50659.20000000001</v>
      </c>
      <c r="I17" s="141">
        <f t="shared" si="0"/>
        <v>406505.50000000006</v>
      </c>
    </row>
    <row r="18" spans="1:9" s="3" customFormat="1" ht="12.75">
      <c r="A18" s="468"/>
      <c r="B18" s="470" t="s">
        <v>122</v>
      </c>
      <c r="C18" s="135" t="s">
        <v>175</v>
      </c>
      <c r="D18" s="137">
        <v>-109.6</v>
      </c>
      <c r="E18" s="137">
        <v>-24.42</v>
      </c>
      <c r="F18" s="137">
        <v>-157.61</v>
      </c>
      <c r="G18" s="137">
        <v>-98.93</v>
      </c>
      <c r="H18" s="137">
        <v>-133.18</v>
      </c>
      <c r="I18" s="138">
        <f aca="true" t="shared" si="3" ref="I18:I23">SUM(D18:H18)</f>
        <v>-523.74</v>
      </c>
    </row>
    <row r="19" spans="1:9" s="3" customFormat="1" ht="12.75">
      <c r="A19" s="468"/>
      <c r="B19" s="471"/>
      <c r="C19" s="128" t="s">
        <v>1</v>
      </c>
      <c r="D19" s="69">
        <v>130.76</v>
      </c>
      <c r="E19" s="69">
        <v>39.22</v>
      </c>
      <c r="F19" s="69">
        <v>158.34</v>
      </c>
      <c r="G19" s="69">
        <v>98.93</v>
      </c>
      <c r="H19" s="69">
        <v>138.78</v>
      </c>
      <c r="I19" s="139">
        <f t="shared" si="3"/>
        <v>566.03</v>
      </c>
    </row>
    <row r="20" spans="1:9" s="3" customFormat="1" ht="12.75">
      <c r="A20" s="468"/>
      <c r="B20" s="471"/>
      <c r="C20" s="128" t="s">
        <v>2</v>
      </c>
      <c r="D20" s="69">
        <v>21.16</v>
      </c>
      <c r="E20" s="69">
        <v>14.8</v>
      </c>
      <c r="F20" s="69">
        <v>0.73</v>
      </c>
      <c r="G20" s="69">
        <v>0</v>
      </c>
      <c r="H20" s="69">
        <v>5.6</v>
      </c>
      <c r="I20" s="139">
        <f t="shared" si="3"/>
        <v>42.29</v>
      </c>
    </row>
    <row r="21" spans="1:9" s="3" customFormat="1" ht="12.75">
      <c r="A21" s="468"/>
      <c r="B21" s="471"/>
      <c r="C21" s="128" t="s">
        <v>4</v>
      </c>
      <c r="D21" s="69">
        <f aca="true" t="shared" si="4" ref="D21:H22">+D19</f>
        <v>130.76</v>
      </c>
      <c r="E21" s="69">
        <f t="shared" si="4"/>
        <v>39.22</v>
      </c>
      <c r="F21" s="69">
        <f t="shared" si="4"/>
        <v>158.34</v>
      </c>
      <c r="G21" s="69">
        <f t="shared" si="4"/>
        <v>98.93</v>
      </c>
      <c r="H21" s="69">
        <f t="shared" si="4"/>
        <v>138.78</v>
      </c>
      <c r="I21" s="139">
        <f t="shared" si="3"/>
        <v>566.03</v>
      </c>
    </row>
    <row r="22" spans="1:9" s="3" customFormat="1" ht="12.75">
      <c r="A22" s="468"/>
      <c r="B22" s="471"/>
      <c r="C22" s="128" t="s">
        <v>3</v>
      </c>
      <c r="D22" s="69">
        <f t="shared" si="4"/>
        <v>21.16</v>
      </c>
      <c r="E22" s="69">
        <f t="shared" si="4"/>
        <v>14.8</v>
      </c>
      <c r="F22" s="69">
        <f t="shared" si="4"/>
        <v>0.73</v>
      </c>
      <c r="G22" s="69">
        <f t="shared" si="4"/>
        <v>0</v>
      </c>
      <c r="H22" s="69">
        <f t="shared" si="4"/>
        <v>5.6</v>
      </c>
      <c r="I22" s="139">
        <f t="shared" si="3"/>
        <v>42.29</v>
      </c>
    </row>
    <row r="23" spans="1:9" s="3" customFormat="1" ht="13.5" thickBot="1">
      <c r="A23" s="469"/>
      <c r="B23" s="472"/>
      <c r="C23" s="140" t="s">
        <v>199</v>
      </c>
      <c r="D23" s="70">
        <f>D18+D19-D20</f>
        <v>0</v>
      </c>
      <c r="E23" s="70">
        <f>E18+E19-E20</f>
        <v>0</v>
      </c>
      <c r="F23" s="70">
        <f>F18+F19-F20</f>
        <v>-1.021405182655144E-14</v>
      </c>
      <c r="G23" s="70">
        <f>G18+G19-G20</f>
        <v>0</v>
      </c>
      <c r="H23" s="70">
        <f>H18+H19-H20</f>
        <v>0</v>
      </c>
      <c r="I23" s="141">
        <f t="shared" si="3"/>
        <v>-1.021405182655144E-14</v>
      </c>
    </row>
    <row r="24" spans="1:9" s="3" customFormat="1" ht="12.75" customHeight="1">
      <c r="A24" s="434" t="s">
        <v>62</v>
      </c>
      <c r="B24" s="470" t="s">
        <v>10</v>
      </c>
      <c r="C24" s="135" t="s">
        <v>175</v>
      </c>
      <c r="D24" s="137">
        <v>27239.75</v>
      </c>
      <c r="E24" s="137">
        <v>237810.68</v>
      </c>
      <c r="F24" s="137">
        <v>179750.01</v>
      </c>
      <c r="G24" s="137">
        <v>79821.12</v>
      </c>
      <c r="H24" s="137">
        <v>42163.1</v>
      </c>
      <c r="I24" s="138">
        <f t="shared" si="0"/>
        <v>566784.66</v>
      </c>
    </row>
    <row r="25" spans="1:9" s="3" customFormat="1" ht="12.75">
      <c r="A25" s="433"/>
      <c r="B25" s="471"/>
      <c r="C25" s="128" t="s">
        <v>1</v>
      </c>
      <c r="D25" s="69">
        <v>954371.16</v>
      </c>
      <c r="E25" s="69">
        <v>1647043.5</v>
      </c>
      <c r="F25" s="69">
        <v>3583261.14</v>
      </c>
      <c r="G25" s="69">
        <v>1936622.45</v>
      </c>
      <c r="H25" s="69">
        <v>2083982.3</v>
      </c>
      <c r="I25" s="139">
        <f t="shared" si="0"/>
        <v>10205280.55</v>
      </c>
    </row>
    <row r="26" spans="1:9" s="3" customFormat="1" ht="12.75">
      <c r="A26" s="433"/>
      <c r="B26" s="471"/>
      <c r="C26" s="128" t="s">
        <v>2</v>
      </c>
      <c r="D26" s="69">
        <v>822219.72</v>
      </c>
      <c r="E26" s="69">
        <v>1741216.84</v>
      </c>
      <c r="F26" s="69">
        <v>3462465.16</v>
      </c>
      <c r="G26" s="69">
        <v>2125230.77</v>
      </c>
      <c r="H26" s="69">
        <v>2182784.78</v>
      </c>
      <c r="I26" s="139">
        <f t="shared" si="0"/>
        <v>10333917.27</v>
      </c>
    </row>
    <row r="27" spans="1:9" s="3" customFormat="1" ht="12.75">
      <c r="A27" s="433"/>
      <c r="B27" s="471"/>
      <c r="C27" s="128" t="s">
        <v>4</v>
      </c>
      <c r="D27" s="69">
        <f aca="true" t="shared" si="5" ref="D27:H28">+D25</f>
        <v>954371.16</v>
      </c>
      <c r="E27" s="69">
        <f t="shared" si="5"/>
        <v>1647043.5</v>
      </c>
      <c r="F27" s="69">
        <f t="shared" si="5"/>
        <v>3583261.14</v>
      </c>
      <c r="G27" s="69">
        <f t="shared" si="5"/>
        <v>1936622.45</v>
      </c>
      <c r="H27" s="69">
        <f t="shared" si="5"/>
        <v>2083982.3</v>
      </c>
      <c r="I27" s="139">
        <f t="shared" si="0"/>
        <v>10205280.55</v>
      </c>
    </row>
    <row r="28" spans="1:9" s="3" customFormat="1" ht="12.75">
      <c r="A28" s="433"/>
      <c r="B28" s="471"/>
      <c r="C28" s="128" t="s">
        <v>3</v>
      </c>
      <c r="D28" s="69">
        <f t="shared" si="5"/>
        <v>822219.72</v>
      </c>
      <c r="E28" s="69">
        <v>1754783.68</v>
      </c>
      <c r="F28" s="69">
        <f t="shared" si="5"/>
        <v>3462465.16</v>
      </c>
      <c r="G28" s="69">
        <f t="shared" si="5"/>
        <v>2125230.77</v>
      </c>
      <c r="H28" s="69">
        <f t="shared" si="5"/>
        <v>2182784.78</v>
      </c>
      <c r="I28" s="139">
        <f t="shared" si="0"/>
        <v>10347484.11</v>
      </c>
    </row>
    <row r="29" spans="1:9" s="3" customFormat="1" ht="13.5" thickBot="1">
      <c r="A29" s="433"/>
      <c r="B29" s="472"/>
      <c r="C29" s="140" t="s">
        <v>199</v>
      </c>
      <c r="D29" s="70">
        <f>D24+D25-D26</f>
        <v>159391.19000000006</v>
      </c>
      <c r="E29" s="70">
        <f>E24+E25-E26</f>
        <v>143637.33999999985</v>
      </c>
      <c r="F29" s="70">
        <f>F24+F25-F26</f>
        <v>300545.9900000002</v>
      </c>
      <c r="G29" s="70">
        <f>G24+G25-G26</f>
        <v>-108787.20000000019</v>
      </c>
      <c r="H29" s="70">
        <f>H24+H25-H26</f>
        <v>-56639.37999999989</v>
      </c>
      <c r="I29" s="141">
        <f t="shared" si="0"/>
        <v>438147.94000000006</v>
      </c>
    </row>
    <row r="30" spans="1:9" s="3" customFormat="1" ht="12.75">
      <c r="A30" s="433"/>
      <c r="B30" s="470" t="s">
        <v>12</v>
      </c>
      <c r="C30" s="135" t="s">
        <v>175</v>
      </c>
      <c r="D30" s="137">
        <v>51575.93</v>
      </c>
      <c r="E30" s="137">
        <v>63306.23</v>
      </c>
      <c r="F30" s="137">
        <v>157062.65</v>
      </c>
      <c r="G30" s="137">
        <v>85325.69</v>
      </c>
      <c r="H30" s="137">
        <v>65040.46</v>
      </c>
      <c r="I30" s="138">
        <f t="shared" si="0"/>
        <v>422310.96</v>
      </c>
    </row>
    <row r="31" spans="1:9" s="3" customFormat="1" ht="12.75">
      <c r="A31" s="433"/>
      <c r="B31" s="471"/>
      <c r="C31" s="128" t="s">
        <v>1</v>
      </c>
      <c r="D31" s="69">
        <v>179519.51</v>
      </c>
      <c r="E31" s="69">
        <v>310468.08</v>
      </c>
      <c r="F31" s="69">
        <v>664218.26</v>
      </c>
      <c r="G31" s="69">
        <v>333872.27</v>
      </c>
      <c r="H31" s="69">
        <v>295288.01</v>
      </c>
      <c r="I31" s="139">
        <f t="shared" si="0"/>
        <v>1783366.1300000001</v>
      </c>
    </row>
    <row r="32" spans="1:9" s="3" customFormat="1" ht="12.75">
      <c r="A32" s="433"/>
      <c r="B32" s="471"/>
      <c r="C32" s="128" t="s">
        <v>2</v>
      </c>
      <c r="D32" s="69">
        <v>169215.33</v>
      </c>
      <c r="E32" s="69">
        <v>314595.01</v>
      </c>
      <c r="F32" s="69">
        <v>543623.99</v>
      </c>
      <c r="G32" s="69">
        <v>348527.15</v>
      </c>
      <c r="H32" s="69">
        <v>278392.05</v>
      </c>
      <c r="I32" s="139">
        <f t="shared" si="0"/>
        <v>1654353.53</v>
      </c>
    </row>
    <row r="33" spans="1:9" s="3" customFormat="1" ht="12.75">
      <c r="A33" s="433"/>
      <c r="B33" s="471"/>
      <c r="C33" s="128" t="s">
        <v>4</v>
      </c>
      <c r="D33" s="69">
        <f aca="true" t="shared" si="6" ref="D33:H34">+D31</f>
        <v>179519.51</v>
      </c>
      <c r="E33" s="69">
        <f t="shared" si="6"/>
        <v>310468.08</v>
      </c>
      <c r="F33" s="69">
        <f t="shared" si="6"/>
        <v>664218.26</v>
      </c>
      <c r="G33" s="69">
        <f t="shared" si="6"/>
        <v>333872.27</v>
      </c>
      <c r="H33" s="69">
        <f t="shared" si="6"/>
        <v>295288.01</v>
      </c>
      <c r="I33" s="139">
        <f t="shared" si="0"/>
        <v>1783366.1300000001</v>
      </c>
    </row>
    <row r="34" spans="1:9" s="3" customFormat="1" ht="12.75">
      <c r="A34" s="433"/>
      <c r="B34" s="471"/>
      <c r="C34" s="128" t="s">
        <v>3</v>
      </c>
      <c r="D34" s="69">
        <f t="shared" si="6"/>
        <v>169215.33</v>
      </c>
      <c r="E34" s="69">
        <f>E33+E30</f>
        <v>373774.31</v>
      </c>
      <c r="F34" s="69">
        <v>817314.25</v>
      </c>
      <c r="G34" s="69">
        <f t="shared" si="6"/>
        <v>348527.15</v>
      </c>
      <c r="H34" s="69">
        <f t="shared" si="6"/>
        <v>278392.05</v>
      </c>
      <c r="I34" s="139">
        <f t="shared" si="0"/>
        <v>1987223.09</v>
      </c>
    </row>
    <row r="35" spans="1:9" s="3" customFormat="1" ht="13.5" thickBot="1">
      <c r="A35" s="433"/>
      <c r="B35" s="472"/>
      <c r="C35" s="140" t="s">
        <v>199</v>
      </c>
      <c r="D35" s="70">
        <f>D30+D31-D32</f>
        <v>61880.110000000015</v>
      </c>
      <c r="E35" s="70">
        <f>E30+E31-E32</f>
        <v>59179.29999999999</v>
      </c>
      <c r="F35" s="70">
        <f>F30+F31-F32</f>
        <v>277656.92000000004</v>
      </c>
      <c r="G35" s="70">
        <f>G30+G31-G32</f>
        <v>70670.81</v>
      </c>
      <c r="H35" s="70">
        <f>H30+H31-H32</f>
        <v>81936.42000000004</v>
      </c>
      <c r="I35" s="141">
        <f t="shared" si="0"/>
        <v>551323.56</v>
      </c>
    </row>
    <row r="36" spans="1:9" s="3" customFormat="1" ht="12.75" customHeight="1">
      <c r="A36" s="433"/>
      <c r="B36" s="470" t="s">
        <v>124</v>
      </c>
      <c r="C36" s="135" t="s">
        <v>175</v>
      </c>
      <c r="D36" s="137">
        <v>-171.73</v>
      </c>
      <c r="E36" s="137">
        <v>-39.3</v>
      </c>
      <c r="F36" s="137">
        <v>-253.7</v>
      </c>
      <c r="G36" s="137">
        <v>-154.75</v>
      </c>
      <c r="H36" s="137">
        <v>-211.8</v>
      </c>
      <c r="I36" s="138">
        <f aca="true" t="shared" si="7" ref="I36:I41">SUM(D36:H36)</f>
        <v>-831.28</v>
      </c>
    </row>
    <row r="37" spans="1:9" s="3" customFormat="1" ht="12.75">
      <c r="A37" s="433"/>
      <c r="B37" s="471"/>
      <c r="C37" s="128" t="s">
        <v>1</v>
      </c>
      <c r="D37" s="69">
        <v>205.27</v>
      </c>
      <c r="E37" s="69">
        <v>62.49</v>
      </c>
      <c r="F37" s="69">
        <v>254.87</v>
      </c>
      <c r="G37" s="69">
        <v>154.75</v>
      </c>
      <c r="H37" s="69">
        <v>220.58</v>
      </c>
      <c r="I37" s="139">
        <f t="shared" si="7"/>
        <v>897.96</v>
      </c>
    </row>
    <row r="38" spans="1:9" s="3" customFormat="1" ht="12.75">
      <c r="A38" s="433"/>
      <c r="B38" s="471"/>
      <c r="C38" s="128" t="s">
        <v>2</v>
      </c>
      <c r="D38" s="69">
        <v>33.54</v>
      </c>
      <c r="E38" s="69">
        <v>23.19</v>
      </c>
      <c r="F38" s="69">
        <v>1.17</v>
      </c>
      <c r="G38" s="69">
        <v>0</v>
      </c>
      <c r="H38" s="69">
        <v>8.78</v>
      </c>
      <c r="I38" s="139">
        <f t="shared" si="7"/>
        <v>66.68</v>
      </c>
    </row>
    <row r="39" spans="1:9" s="3" customFormat="1" ht="12.75">
      <c r="A39" s="433"/>
      <c r="B39" s="471"/>
      <c r="C39" s="128" t="s">
        <v>4</v>
      </c>
      <c r="D39" s="69">
        <f aca="true" t="shared" si="8" ref="D39:H40">+D37</f>
        <v>205.27</v>
      </c>
      <c r="E39" s="69">
        <f t="shared" si="8"/>
        <v>62.49</v>
      </c>
      <c r="F39" s="69">
        <f t="shared" si="8"/>
        <v>254.87</v>
      </c>
      <c r="G39" s="69">
        <f t="shared" si="8"/>
        <v>154.75</v>
      </c>
      <c r="H39" s="69">
        <f t="shared" si="8"/>
        <v>220.58</v>
      </c>
      <c r="I39" s="139">
        <f t="shared" si="7"/>
        <v>897.96</v>
      </c>
    </row>
    <row r="40" spans="1:9" s="3" customFormat="1" ht="12.75">
      <c r="A40" s="433"/>
      <c r="B40" s="471"/>
      <c r="C40" s="128" t="s">
        <v>3</v>
      </c>
      <c r="D40" s="69">
        <f t="shared" si="8"/>
        <v>33.54</v>
      </c>
      <c r="E40" s="69">
        <f t="shared" si="8"/>
        <v>23.19</v>
      </c>
      <c r="F40" s="69">
        <f t="shared" si="8"/>
        <v>1.17</v>
      </c>
      <c r="G40" s="69">
        <f t="shared" si="8"/>
        <v>0</v>
      </c>
      <c r="H40" s="69">
        <f t="shared" si="8"/>
        <v>8.78</v>
      </c>
      <c r="I40" s="139">
        <f t="shared" si="7"/>
        <v>66.68</v>
      </c>
    </row>
    <row r="41" spans="1:9" s="3" customFormat="1" ht="13.5" thickBot="1">
      <c r="A41" s="435"/>
      <c r="B41" s="472"/>
      <c r="C41" s="140" t="s">
        <v>199</v>
      </c>
      <c r="D41" s="70">
        <f>D36+D37-D38</f>
        <v>0</v>
      </c>
      <c r="E41" s="70">
        <f>E36+E37-E38</f>
        <v>0</v>
      </c>
      <c r="F41" s="70">
        <f>F36+F37-F38</f>
        <v>1.5987211554602254E-14</v>
      </c>
      <c r="G41" s="70">
        <f>G36+G37-G38</f>
        <v>0</v>
      </c>
      <c r="H41" s="70">
        <f>H36+H37-H38</f>
        <v>0</v>
      </c>
      <c r="I41" s="141">
        <f t="shared" si="7"/>
        <v>1.5987211554602254E-14</v>
      </c>
    </row>
    <row r="42" spans="1:9" s="3" customFormat="1" ht="12.75" customHeight="1">
      <c r="A42" s="486" t="s">
        <v>11</v>
      </c>
      <c r="B42" s="470" t="s">
        <v>125</v>
      </c>
      <c r="C42" s="135" t="s">
        <v>175</v>
      </c>
      <c r="D42" s="137">
        <f>-3077.34-6.29</f>
        <v>-3083.63</v>
      </c>
      <c r="E42" s="137">
        <f>-1477.65-15.62</f>
        <v>-1493.27</v>
      </c>
      <c r="F42" s="137">
        <f>-7345.19-37.32</f>
        <v>-7382.509999999999</v>
      </c>
      <c r="G42" s="137">
        <f>-3345.21-18.89</f>
        <v>-3364.1</v>
      </c>
      <c r="H42" s="137">
        <f>-5428.01-36.3</f>
        <v>-5464.31</v>
      </c>
      <c r="I42" s="138">
        <f t="shared" si="0"/>
        <v>-20787.82</v>
      </c>
    </row>
    <row r="43" spans="1:9" s="3" customFormat="1" ht="12.75">
      <c r="A43" s="487"/>
      <c r="B43" s="471"/>
      <c r="C43" s="128" t="s">
        <v>1</v>
      </c>
      <c r="D43" s="69">
        <f>3648.55+6.29</f>
        <v>3654.84</v>
      </c>
      <c r="E43" s="69">
        <f>1756.74+15.62</f>
        <v>1772.36</v>
      </c>
      <c r="F43" s="69">
        <f>7359.15+37.32</f>
        <v>7396.469999999999</v>
      </c>
      <c r="G43" s="69">
        <f>3345.29+18.89</f>
        <v>3364.18</v>
      </c>
      <c r="H43" s="69">
        <f>5533.6+36.3</f>
        <v>5569.900000000001</v>
      </c>
      <c r="I43" s="139">
        <f t="shared" si="0"/>
        <v>21757.75</v>
      </c>
    </row>
    <row r="44" spans="1:9" s="3" customFormat="1" ht="12.75">
      <c r="A44" s="487"/>
      <c r="B44" s="471"/>
      <c r="C44" s="128" t="s">
        <v>2</v>
      </c>
      <c r="D44" s="69">
        <v>571.21</v>
      </c>
      <c r="E44" s="69">
        <v>279.09</v>
      </c>
      <c r="F44" s="69">
        <v>13.96</v>
      </c>
      <c r="G44" s="69">
        <v>0.08</v>
      </c>
      <c r="H44" s="69">
        <v>105.59</v>
      </c>
      <c r="I44" s="139">
        <f t="shared" si="0"/>
        <v>969.9300000000001</v>
      </c>
    </row>
    <row r="45" spans="1:9" s="3" customFormat="1" ht="12.75">
      <c r="A45" s="487"/>
      <c r="B45" s="471"/>
      <c r="C45" s="128" t="s">
        <v>4</v>
      </c>
      <c r="D45" s="69">
        <f aca="true" t="shared" si="9" ref="D45:H46">+D43</f>
        <v>3654.84</v>
      </c>
      <c r="E45" s="69">
        <f t="shared" si="9"/>
        <v>1772.36</v>
      </c>
      <c r="F45" s="69">
        <f t="shared" si="9"/>
        <v>7396.469999999999</v>
      </c>
      <c r="G45" s="69">
        <f t="shared" si="9"/>
        <v>3364.18</v>
      </c>
      <c r="H45" s="69">
        <f t="shared" si="9"/>
        <v>5569.900000000001</v>
      </c>
      <c r="I45" s="139">
        <f t="shared" si="0"/>
        <v>21757.75</v>
      </c>
    </row>
    <row r="46" spans="1:9" s="3" customFormat="1" ht="12.75">
      <c r="A46" s="487"/>
      <c r="B46" s="471"/>
      <c r="C46" s="128" t="s">
        <v>3</v>
      </c>
      <c r="D46" s="69">
        <f t="shared" si="9"/>
        <v>571.21</v>
      </c>
      <c r="E46" s="69">
        <f t="shared" si="9"/>
        <v>279.09</v>
      </c>
      <c r="F46" s="69">
        <f t="shared" si="9"/>
        <v>13.96</v>
      </c>
      <c r="G46" s="69">
        <f t="shared" si="9"/>
        <v>0.08</v>
      </c>
      <c r="H46" s="69">
        <f t="shared" si="9"/>
        <v>105.59</v>
      </c>
      <c r="I46" s="139">
        <f t="shared" si="0"/>
        <v>969.9300000000001</v>
      </c>
    </row>
    <row r="47" spans="1:9" s="3" customFormat="1" ht="13.5" thickBot="1">
      <c r="A47" s="488"/>
      <c r="B47" s="472"/>
      <c r="C47" s="140" t="s">
        <v>199</v>
      </c>
      <c r="D47" s="70">
        <f>D42+D43-D44</f>
        <v>0</v>
      </c>
      <c r="E47" s="70">
        <f>E42+E43-E44</f>
        <v>0</v>
      </c>
      <c r="F47" s="70">
        <f>F42+F43-F44</f>
        <v>3.552713678800501E-14</v>
      </c>
      <c r="G47" s="70">
        <f>G42+G43-G44</f>
        <v>-7.27612414763712E-14</v>
      </c>
      <c r="H47" s="70">
        <f>H42+H43-H44</f>
        <v>1.4210854715202004E-13</v>
      </c>
      <c r="I47" s="141">
        <f t="shared" si="0"/>
        <v>1.0487444246365385E-13</v>
      </c>
    </row>
    <row r="48" spans="1:9" s="24" customFormat="1" ht="12.75" customHeight="1">
      <c r="A48" s="390" t="s">
        <v>13</v>
      </c>
      <c r="B48" s="470" t="s">
        <v>14</v>
      </c>
      <c r="C48" s="135" t="s">
        <v>175</v>
      </c>
      <c r="D48" s="137">
        <v>13145.18</v>
      </c>
      <c r="E48" s="137">
        <v>14478.94</v>
      </c>
      <c r="F48" s="137">
        <v>21654.08</v>
      </c>
      <c r="G48" s="137">
        <v>10110.02</v>
      </c>
      <c r="H48" s="137">
        <v>12717.28</v>
      </c>
      <c r="I48" s="138">
        <f t="shared" si="0"/>
        <v>72105.5</v>
      </c>
    </row>
    <row r="49" spans="1:9" s="24" customFormat="1" ht="12.75">
      <c r="A49" s="391"/>
      <c r="B49" s="471"/>
      <c r="C49" s="128" t="s">
        <v>1</v>
      </c>
      <c r="D49" s="69">
        <v>81854.12</v>
      </c>
      <c r="E49" s="69">
        <v>124148.4</v>
      </c>
      <c r="F49" s="69">
        <v>272675.31</v>
      </c>
      <c r="G49" s="69">
        <v>145824.66</v>
      </c>
      <c r="H49" s="69">
        <v>135350.96</v>
      </c>
      <c r="I49" s="139">
        <f t="shared" si="0"/>
        <v>759853.45</v>
      </c>
    </row>
    <row r="50" spans="1:9" s="24" customFormat="1" ht="12.75">
      <c r="A50" s="391"/>
      <c r="B50" s="471"/>
      <c r="C50" s="128" t="s">
        <v>2</v>
      </c>
      <c r="D50" s="69">
        <v>78604.1</v>
      </c>
      <c r="E50" s="69">
        <v>126411.79</v>
      </c>
      <c r="F50" s="69">
        <v>257201.76</v>
      </c>
      <c r="G50" s="69">
        <v>148993.98</v>
      </c>
      <c r="H50" s="69">
        <v>137920.65</v>
      </c>
      <c r="I50" s="139">
        <f t="shared" si="0"/>
        <v>749132.28</v>
      </c>
    </row>
    <row r="51" spans="1:9" s="24" customFormat="1" ht="12.75">
      <c r="A51" s="391"/>
      <c r="B51" s="471"/>
      <c r="C51" s="128" t="s">
        <v>4</v>
      </c>
      <c r="D51" s="69">
        <f aca="true" t="shared" si="10" ref="D51:H52">+D49</f>
        <v>81854.12</v>
      </c>
      <c r="E51" s="69">
        <f t="shared" si="10"/>
        <v>124148.4</v>
      </c>
      <c r="F51" s="69">
        <f t="shared" si="10"/>
        <v>272675.31</v>
      </c>
      <c r="G51" s="69">
        <f t="shared" si="10"/>
        <v>145824.66</v>
      </c>
      <c r="H51" s="69">
        <f t="shared" si="10"/>
        <v>135350.96</v>
      </c>
      <c r="I51" s="139">
        <f t="shared" si="0"/>
        <v>759853.45</v>
      </c>
    </row>
    <row r="52" spans="1:9" s="24" customFormat="1" ht="12.75">
      <c r="A52" s="391"/>
      <c r="B52" s="471"/>
      <c r="C52" s="128" t="s">
        <v>3</v>
      </c>
      <c r="D52" s="69">
        <f t="shared" si="10"/>
        <v>78604.1</v>
      </c>
      <c r="E52" s="69">
        <f t="shared" si="10"/>
        <v>126411.79</v>
      </c>
      <c r="F52" s="69">
        <f t="shared" si="10"/>
        <v>257201.76</v>
      </c>
      <c r="G52" s="69">
        <f t="shared" si="10"/>
        <v>148993.98</v>
      </c>
      <c r="H52" s="69">
        <f t="shared" si="10"/>
        <v>137920.65</v>
      </c>
      <c r="I52" s="139">
        <f t="shared" si="0"/>
        <v>749132.28</v>
      </c>
    </row>
    <row r="53" spans="1:9" s="3" customFormat="1" ht="13.5" thickBot="1">
      <c r="A53" s="391"/>
      <c r="B53" s="472"/>
      <c r="C53" s="140" t="s">
        <v>199</v>
      </c>
      <c r="D53" s="70">
        <f>D48+D49-D50</f>
        <v>16395.199999999983</v>
      </c>
      <c r="E53" s="70">
        <f>E48+E49-E50</f>
        <v>12215.550000000003</v>
      </c>
      <c r="F53" s="70">
        <f>F48+F49-F50</f>
        <v>37127.630000000005</v>
      </c>
      <c r="G53" s="70">
        <f>G48+G49-G50</f>
        <v>6940.6999999999825</v>
      </c>
      <c r="H53" s="70">
        <f>H48+H49-H50</f>
        <v>10147.589999999997</v>
      </c>
      <c r="I53" s="141">
        <f t="shared" si="0"/>
        <v>82826.66999999997</v>
      </c>
    </row>
    <row r="54" spans="1:9" s="24" customFormat="1" ht="12.75">
      <c r="A54" s="391"/>
      <c r="B54" s="470" t="s">
        <v>15</v>
      </c>
      <c r="C54" s="135" t="s">
        <v>175</v>
      </c>
      <c r="D54" s="137">
        <v>2450.25</v>
      </c>
      <c r="E54" s="137">
        <f>581.55+3381.07</f>
        <v>3962.62</v>
      </c>
      <c r="F54" s="137">
        <f>-22.17+5272.6</f>
        <v>5250.43</v>
      </c>
      <c r="G54" s="137">
        <f>51.33+1869.04</f>
        <v>1920.37</v>
      </c>
      <c r="H54" s="137">
        <v>2529.81</v>
      </c>
      <c r="I54" s="138">
        <f t="shared" si="0"/>
        <v>16113.479999999998</v>
      </c>
    </row>
    <row r="55" spans="1:9" s="24" customFormat="1" ht="12.75">
      <c r="A55" s="391"/>
      <c r="B55" s="471"/>
      <c r="C55" s="128" t="s">
        <v>1</v>
      </c>
      <c r="D55" s="69">
        <f>0.72+13835.76</f>
        <v>13836.48</v>
      </c>
      <c r="E55" s="69">
        <f>-581.55+23878.92</f>
        <v>23297.37</v>
      </c>
      <c r="F55" s="69">
        <f>22.17+56600.55</f>
        <v>56622.72</v>
      </c>
      <c r="G55" s="69">
        <f>-51.33+32572.8</f>
        <v>32521.469999999998</v>
      </c>
      <c r="H55" s="69">
        <v>33036.48</v>
      </c>
      <c r="I55" s="139">
        <f t="shared" si="0"/>
        <v>159314.52000000002</v>
      </c>
    </row>
    <row r="56" spans="1:9" s="24" customFormat="1" ht="12.75">
      <c r="A56" s="391"/>
      <c r="B56" s="471"/>
      <c r="C56" s="128" t="s">
        <v>2</v>
      </c>
      <c r="D56" s="69">
        <f>0.72+13617.01</f>
        <v>13617.73</v>
      </c>
      <c r="E56" s="69">
        <v>25303.66</v>
      </c>
      <c r="F56" s="69">
        <v>53927.39</v>
      </c>
      <c r="G56" s="69">
        <v>31646.93</v>
      </c>
      <c r="H56" s="69">
        <v>33530.97</v>
      </c>
      <c r="I56" s="139">
        <f t="shared" si="0"/>
        <v>158026.68</v>
      </c>
    </row>
    <row r="57" spans="1:9" s="24" customFormat="1" ht="12.75">
      <c r="A57" s="391"/>
      <c r="B57" s="471"/>
      <c r="C57" s="128" t="s">
        <v>4</v>
      </c>
      <c r="D57" s="69">
        <f aca="true" t="shared" si="11" ref="D57:H58">+D55</f>
        <v>13836.48</v>
      </c>
      <c r="E57" s="69">
        <f t="shared" si="11"/>
        <v>23297.37</v>
      </c>
      <c r="F57" s="69">
        <f t="shared" si="11"/>
        <v>56622.72</v>
      </c>
      <c r="G57" s="69">
        <f t="shared" si="11"/>
        <v>32521.469999999998</v>
      </c>
      <c r="H57" s="69">
        <f t="shared" si="11"/>
        <v>33036.48</v>
      </c>
      <c r="I57" s="139">
        <f t="shared" si="0"/>
        <v>159314.52000000002</v>
      </c>
    </row>
    <row r="58" spans="1:9" s="24" customFormat="1" ht="12.75">
      <c r="A58" s="391"/>
      <c r="B58" s="471"/>
      <c r="C58" s="128" t="s">
        <v>3</v>
      </c>
      <c r="D58" s="69">
        <f t="shared" si="11"/>
        <v>13617.73</v>
      </c>
      <c r="E58" s="69">
        <f t="shared" si="11"/>
        <v>25303.66</v>
      </c>
      <c r="F58" s="69">
        <f t="shared" si="11"/>
        <v>53927.39</v>
      </c>
      <c r="G58" s="69">
        <f t="shared" si="11"/>
        <v>31646.93</v>
      </c>
      <c r="H58" s="69">
        <f t="shared" si="11"/>
        <v>33530.97</v>
      </c>
      <c r="I58" s="139">
        <f t="shared" si="0"/>
        <v>158026.68</v>
      </c>
    </row>
    <row r="59" spans="1:9" s="3" customFormat="1" ht="13.5" thickBot="1">
      <c r="A59" s="391"/>
      <c r="B59" s="472"/>
      <c r="C59" s="140" t="s">
        <v>199</v>
      </c>
      <c r="D59" s="70">
        <f>D54+D55-D56</f>
        <v>2669</v>
      </c>
      <c r="E59" s="70">
        <f>E54+E55-E56</f>
        <v>1956.329999999998</v>
      </c>
      <c r="F59" s="70">
        <f>F54+F55-F56</f>
        <v>7945.760000000002</v>
      </c>
      <c r="G59" s="70">
        <f>G54+G55-G56</f>
        <v>2794.909999999996</v>
      </c>
      <c r="H59" s="70">
        <f>H54+H55-H56</f>
        <v>2035.3199999999997</v>
      </c>
      <c r="I59" s="141">
        <f t="shared" si="0"/>
        <v>17401.319999999996</v>
      </c>
    </row>
    <row r="60" spans="1:9" s="3" customFormat="1" ht="13.5" hidden="1" thickBot="1">
      <c r="A60" s="379"/>
      <c r="B60" s="456" t="s">
        <v>47</v>
      </c>
      <c r="C60" s="135" t="s">
        <v>156</v>
      </c>
      <c r="D60" s="79"/>
      <c r="E60" s="79"/>
      <c r="F60" s="79"/>
      <c r="G60" s="79"/>
      <c r="H60" s="79"/>
      <c r="I60" s="79">
        <f t="shared" si="0"/>
        <v>0</v>
      </c>
    </row>
    <row r="61" spans="1:9" s="3" customFormat="1" ht="13.5" hidden="1" thickBot="1">
      <c r="A61" s="379"/>
      <c r="B61" s="467"/>
      <c r="C61" s="128" t="s">
        <v>1</v>
      </c>
      <c r="D61" s="80"/>
      <c r="E61" s="80"/>
      <c r="F61" s="80"/>
      <c r="G61" s="80"/>
      <c r="H61" s="80"/>
      <c r="I61" s="80">
        <f t="shared" si="0"/>
        <v>0</v>
      </c>
    </row>
    <row r="62" spans="1:9" s="3" customFormat="1" ht="13.5" hidden="1" thickBot="1">
      <c r="A62" s="379"/>
      <c r="B62" s="467"/>
      <c r="C62" s="128" t="s">
        <v>2</v>
      </c>
      <c r="D62" s="80"/>
      <c r="E62" s="80"/>
      <c r="F62" s="80"/>
      <c r="G62" s="80"/>
      <c r="H62" s="80"/>
      <c r="I62" s="80">
        <f t="shared" si="0"/>
        <v>0</v>
      </c>
    </row>
    <row r="63" spans="1:9" s="3" customFormat="1" ht="13.5" hidden="1" thickBot="1">
      <c r="A63" s="379"/>
      <c r="B63" s="467"/>
      <c r="C63" s="128" t="s">
        <v>4</v>
      </c>
      <c r="D63" s="80"/>
      <c r="E63" s="80"/>
      <c r="F63" s="130"/>
      <c r="G63" s="80"/>
      <c r="H63" s="80"/>
      <c r="I63" s="80">
        <f t="shared" si="0"/>
        <v>0</v>
      </c>
    </row>
    <row r="64" spans="1:9" s="3" customFormat="1" ht="13.5" hidden="1" thickBot="1">
      <c r="A64" s="379"/>
      <c r="B64" s="467"/>
      <c r="C64" s="128" t="s">
        <v>3</v>
      </c>
      <c r="D64" s="80"/>
      <c r="E64" s="80"/>
      <c r="F64" s="130"/>
      <c r="G64" s="80"/>
      <c r="H64" s="80"/>
      <c r="I64" s="80">
        <f t="shared" si="0"/>
        <v>0</v>
      </c>
    </row>
    <row r="65" spans="1:9" s="13" customFormat="1" ht="13.5" hidden="1" thickBot="1">
      <c r="A65" s="379"/>
      <c r="B65" s="467"/>
      <c r="C65" s="15" t="s">
        <v>160</v>
      </c>
      <c r="D65" s="92">
        <f>D60+D61-D62</f>
        <v>0</v>
      </c>
      <c r="E65" s="92">
        <f>E60+E61-E62</f>
        <v>0</v>
      </c>
      <c r="F65" s="92">
        <f>F60+F61-F62</f>
        <v>0</v>
      </c>
      <c r="G65" s="92">
        <f>G60+G61-G62</f>
        <v>0</v>
      </c>
      <c r="H65" s="92">
        <f>H60+H61-H62</f>
        <v>0</v>
      </c>
      <c r="I65" s="129">
        <f t="shared" si="0"/>
        <v>0</v>
      </c>
    </row>
    <row r="66" spans="1:9" s="3" customFormat="1" ht="13.5" customHeight="1" hidden="1" thickBot="1">
      <c r="A66" s="379"/>
      <c r="B66" s="467" t="s">
        <v>45</v>
      </c>
      <c r="C66" s="128" t="s">
        <v>156</v>
      </c>
      <c r="D66" s="80"/>
      <c r="E66" s="80"/>
      <c r="F66" s="80"/>
      <c r="G66" s="80"/>
      <c r="H66" s="80"/>
      <c r="I66" s="80">
        <f t="shared" si="0"/>
        <v>0</v>
      </c>
    </row>
    <row r="67" spans="1:9" s="3" customFormat="1" ht="12.75" customHeight="1" hidden="1">
      <c r="A67" s="379"/>
      <c r="B67" s="467"/>
      <c r="C67" s="128" t="s">
        <v>1</v>
      </c>
      <c r="D67" s="80"/>
      <c r="E67" s="80"/>
      <c r="F67" s="80"/>
      <c r="G67" s="80"/>
      <c r="H67" s="80"/>
      <c r="I67" s="80">
        <f t="shared" si="0"/>
        <v>0</v>
      </c>
    </row>
    <row r="68" spans="1:9" s="3" customFormat="1" ht="12.75" customHeight="1" hidden="1">
      <c r="A68" s="379"/>
      <c r="B68" s="467"/>
      <c r="C68" s="128" t="s">
        <v>2</v>
      </c>
      <c r="D68" s="80"/>
      <c r="E68" s="80"/>
      <c r="F68" s="80"/>
      <c r="G68" s="80"/>
      <c r="H68" s="80"/>
      <c r="I68" s="80">
        <f t="shared" si="0"/>
        <v>0</v>
      </c>
    </row>
    <row r="69" spans="1:9" s="3" customFormat="1" ht="12.75" customHeight="1" hidden="1">
      <c r="A69" s="379"/>
      <c r="B69" s="467"/>
      <c r="C69" s="128" t="s">
        <v>4</v>
      </c>
      <c r="D69" s="80"/>
      <c r="E69" s="80"/>
      <c r="F69" s="130"/>
      <c r="G69" s="130"/>
      <c r="H69" s="130"/>
      <c r="I69" s="80">
        <f t="shared" si="0"/>
        <v>0</v>
      </c>
    </row>
    <row r="70" spans="1:9" s="3" customFormat="1" ht="12.75" customHeight="1" hidden="1">
      <c r="A70" s="379"/>
      <c r="B70" s="467"/>
      <c r="C70" s="128" t="s">
        <v>3</v>
      </c>
      <c r="D70" s="92"/>
      <c r="E70" s="92"/>
      <c r="F70" s="130"/>
      <c r="G70" s="130"/>
      <c r="H70" s="130"/>
      <c r="I70" s="80">
        <f t="shared" si="0"/>
        <v>0</v>
      </c>
    </row>
    <row r="71" spans="1:9" s="3" customFormat="1" ht="12.75" customHeight="1" hidden="1">
      <c r="A71" s="379"/>
      <c r="B71" s="467"/>
      <c r="C71" s="15" t="s">
        <v>160</v>
      </c>
      <c r="D71" s="92">
        <f>D66+D67-D68</f>
        <v>0</v>
      </c>
      <c r="E71" s="92">
        <f>E66+E67-E68</f>
        <v>0</v>
      </c>
      <c r="F71" s="92">
        <f>F66+F67-F68</f>
        <v>0</v>
      </c>
      <c r="G71" s="92">
        <f>G66+G67-G68</f>
        <v>0</v>
      </c>
      <c r="H71" s="92">
        <f>H66+H67-H68</f>
        <v>0</v>
      </c>
      <c r="I71" s="129">
        <f t="shared" si="0"/>
        <v>0</v>
      </c>
    </row>
    <row r="72" spans="1:9" s="3" customFormat="1" ht="14.25" customHeight="1" hidden="1" thickBot="1">
      <c r="A72" s="379" t="s">
        <v>17</v>
      </c>
      <c r="B72" s="467" t="s">
        <v>43</v>
      </c>
      <c r="C72" s="128" t="s">
        <v>156</v>
      </c>
      <c r="D72" s="80"/>
      <c r="E72" s="80"/>
      <c r="F72" s="80"/>
      <c r="G72" s="80"/>
      <c r="H72" s="80"/>
      <c r="I72" s="80">
        <f t="shared" si="0"/>
        <v>0</v>
      </c>
    </row>
    <row r="73" spans="1:9" s="3" customFormat="1" ht="12.75" customHeight="1" hidden="1">
      <c r="A73" s="379"/>
      <c r="B73" s="467"/>
      <c r="C73" s="128" t="s">
        <v>1</v>
      </c>
      <c r="D73" s="80"/>
      <c r="E73" s="80"/>
      <c r="F73" s="80"/>
      <c r="G73" s="80"/>
      <c r="H73" s="80"/>
      <c r="I73" s="80">
        <f t="shared" si="0"/>
        <v>0</v>
      </c>
    </row>
    <row r="74" spans="1:9" s="3" customFormat="1" ht="12.75" customHeight="1" hidden="1">
      <c r="A74" s="379"/>
      <c r="B74" s="467"/>
      <c r="C74" s="128" t="s">
        <v>2</v>
      </c>
      <c r="D74" s="80"/>
      <c r="E74" s="80"/>
      <c r="F74" s="80"/>
      <c r="G74" s="80"/>
      <c r="H74" s="80"/>
      <c r="I74" s="80">
        <f t="shared" si="0"/>
        <v>0</v>
      </c>
    </row>
    <row r="75" spans="1:9" s="3" customFormat="1" ht="12.75" customHeight="1" hidden="1">
      <c r="A75" s="379"/>
      <c r="B75" s="467"/>
      <c r="C75" s="128" t="s">
        <v>4</v>
      </c>
      <c r="D75" s="80"/>
      <c r="E75" s="80"/>
      <c r="F75" s="80"/>
      <c r="G75" s="80"/>
      <c r="H75" s="80"/>
      <c r="I75" s="80">
        <f t="shared" si="0"/>
        <v>0</v>
      </c>
    </row>
    <row r="76" spans="1:9" s="3" customFormat="1" ht="12.75" customHeight="1" hidden="1">
      <c r="A76" s="379"/>
      <c r="B76" s="467"/>
      <c r="C76" s="128" t="s">
        <v>3</v>
      </c>
      <c r="D76" s="92"/>
      <c r="E76" s="92"/>
      <c r="F76" s="92"/>
      <c r="G76" s="92"/>
      <c r="H76" s="92"/>
      <c r="I76" s="80">
        <f t="shared" si="0"/>
        <v>0</v>
      </c>
    </row>
    <row r="77" spans="1:9" s="3" customFormat="1" ht="12.75" customHeight="1" hidden="1">
      <c r="A77" s="379"/>
      <c r="B77" s="467"/>
      <c r="C77" s="15" t="s">
        <v>160</v>
      </c>
      <c r="D77" s="92">
        <f>D72+D73-D74</f>
        <v>0</v>
      </c>
      <c r="E77" s="92">
        <f>E72+E73-E74</f>
        <v>0</v>
      </c>
      <c r="F77" s="92">
        <f>F72+F73-F74</f>
        <v>0</v>
      </c>
      <c r="G77" s="92">
        <f>G72+G73-G74</f>
        <v>0</v>
      </c>
      <c r="H77" s="92">
        <f>H72+H73-H74</f>
        <v>0</v>
      </c>
      <c r="I77" s="129">
        <f t="shared" si="0"/>
        <v>0</v>
      </c>
    </row>
    <row r="78" spans="1:9" s="3" customFormat="1" ht="12.75" customHeight="1" hidden="1">
      <c r="A78" s="379"/>
      <c r="B78" s="467" t="s">
        <v>18</v>
      </c>
      <c r="C78" s="128" t="s">
        <v>156</v>
      </c>
      <c r="D78" s="80"/>
      <c r="E78" s="80"/>
      <c r="F78" s="80"/>
      <c r="G78" s="80"/>
      <c r="H78" s="80"/>
      <c r="I78" s="80">
        <f t="shared" si="0"/>
        <v>0</v>
      </c>
    </row>
    <row r="79" spans="1:9" s="3" customFormat="1" ht="12.75" customHeight="1" hidden="1">
      <c r="A79" s="379"/>
      <c r="B79" s="467"/>
      <c r="C79" s="128" t="s">
        <v>1</v>
      </c>
      <c r="D79" s="80"/>
      <c r="E79" s="80"/>
      <c r="F79" s="80"/>
      <c r="G79" s="80"/>
      <c r="H79" s="80"/>
      <c r="I79" s="80">
        <f t="shared" si="0"/>
        <v>0</v>
      </c>
    </row>
    <row r="80" spans="1:9" s="3" customFormat="1" ht="12.75" customHeight="1" hidden="1">
      <c r="A80" s="379"/>
      <c r="B80" s="467"/>
      <c r="C80" s="128" t="s">
        <v>2</v>
      </c>
      <c r="D80" s="80"/>
      <c r="E80" s="80"/>
      <c r="F80" s="80"/>
      <c r="G80" s="80"/>
      <c r="H80" s="80"/>
      <c r="I80" s="80">
        <f t="shared" si="0"/>
        <v>0</v>
      </c>
    </row>
    <row r="81" spans="1:9" s="3" customFormat="1" ht="12.75" customHeight="1" hidden="1">
      <c r="A81" s="379"/>
      <c r="B81" s="467"/>
      <c r="C81" s="128" t="s">
        <v>4</v>
      </c>
      <c r="D81" s="80"/>
      <c r="E81" s="80"/>
      <c r="F81" s="80"/>
      <c r="G81" s="80"/>
      <c r="H81" s="80"/>
      <c r="I81" s="80">
        <f t="shared" si="0"/>
        <v>0</v>
      </c>
    </row>
    <row r="82" spans="1:9" s="3" customFormat="1" ht="12.75" customHeight="1" hidden="1">
      <c r="A82" s="379"/>
      <c r="B82" s="467"/>
      <c r="C82" s="128" t="s">
        <v>3</v>
      </c>
      <c r="D82" s="92"/>
      <c r="E82" s="92"/>
      <c r="F82" s="92"/>
      <c r="G82" s="92"/>
      <c r="H82" s="92"/>
      <c r="I82" s="80">
        <f t="shared" si="0"/>
        <v>0</v>
      </c>
    </row>
    <row r="83" spans="1:9" s="3" customFormat="1" ht="12.75" customHeight="1" hidden="1">
      <c r="A83" s="379"/>
      <c r="B83" s="467"/>
      <c r="C83" s="15" t="s">
        <v>160</v>
      </c>
      <c r="D83" s="92">
        <f>D78+D79-D80</f>
        <v>0</v>
      </c>
      <c r="E83" s="92">
        <f>E78+E79-E80</f>
        <v>0</v>
      </c>
      <c r="F83" s="92">
        <f>F78+F79-F80</f>
        <v>0</v>
      </c>
      <c r="G83" s="92">
        <f>G78+G79-G80</f>
        <v>0</v>
      </c>
      <c r="H83" s="92">
        <f>H78+H79-H80</f>
        <v>0</v>
      </c>
      <c r="I83" s="129">
        <f aca="true" t="shared" si="12" ref="I83:I146">SUM(D83:H83)</f>
        <v>0</v>
      </c>
    </row>
    <row r="84" spans="1:9" s="3" customFormat="1" ht="12.75" customHeight="1" hidden="1">
      <c r="A84" s="379"/>
      <c r="B84" s="467" t="s">
        <v>19</v>
      </c>
      <c r="C84" s="128" t="s">
        <v>156</v>
      </c>
      <c r="D84" s="80"/>
      <c r="E84" s="80"/>
      <c r="F84" s="80"/>
      <c r="G84" s="80"/>
      <c r="H84" s="80"/>
      <c r="I84" s="80">
        <f t="shared" si="12"/>
        <v>0</v>
      </c>
    </row>
    <row r="85" spans="1:9" s="3" customFormat="1" ht="12.75" customHeight="1" hidden="1">
      <c r="A85" s="379"/>
      <c r="B85" s="467"/>
      <c r="C85" s="128" t="s">
        <v>1</v>
      </c>
      <c r="D85" s="80"/>
      <c r="E85" s="80"/>
      <c r="F85" s="80"/>
      <c r="G85" s="80"/>
      <c r="H85" s="80"/>
      <c r="I85" s="80">
        <f t="shared" si="12"/>
        <v>0</v>
      </c>
    </row>
    <row r="86" spans="1:9" s="3" customFormat="1" ht="12.75" customHeight="1" hidden="1">
      <c r="A86" s="379"/>
      <c r="B86" s="467"/>
      <c r="C86" s="128" t="s">
        <v>2</v>
      </c>
      <c r="D86" s="80"/>
      <c r="E86" s="80"/>
      <c r="F86" s="80"/>
      <c r="G86" s="80"/>
      <c r="H86" s="80"/>
      <c r="I86" s="80">
        <f t="shared" si="12"/>
        <v>0</v>
      </c>
    </row>
    <row r="87" spans="1:9" s="3" customFormat="1" ht="12.75" customHeight="1" hidden="1">
      <c r="A87" s="379"/>
      <c r="B87" s="467"/>
      <c r="C87" s="128" t="s">
        <v>4</v>
      </c>
      <c r="D87" s="80"/>
      <c r="E87" s="80"/>
      <c r="F87" s="80"/>
      <c r="G87" s="80"/>
      <c r="H87" s="80"/>
      <c r="I87" s="80">
        <f t="shared" si="12"/>
        <v>0</v>
      </c>
    </row>
    <row r="88" spans="1:9" s="3" customFormat="1" ht="12.75" customHeight="1" hidden="1">
      <c r="A88" s="379"/>
      <c r="B88" s="467"/>
      <c r="C88" s="128" t="s">
        <v>3</v>
      </c>
      <c r="D88" s="92"/>
      <c r="E88" s="92"/>
      <c r="F88" s="92"/>
      <c r="G88" s="92"/>
      <c r="H88" s="92"/>
      <c r="I88" s="80">
        <f t="shared" si="12"/>
        <v>0</v>
      </c>
    </row>
    <row r="89" spans="1:9" s="3" customFormat="1" ht="12.75" customHeight="1" hidden="1">
      <c r="A89" s="379"/>
      <c r="B89" s="454"/>
      <c r="C89" s="16" t="s">
        <v>160</v>
      </c>
      <c r="D89" s="134">
        <f>D84+D85-D86</f>
        <v>0</v>
      </c>
      <c r="E89" s="134">
        <f>E84+E85-E86</f>
        <v>0</v>
      </c>
      <c r="F89" s="134">
        <f>F84+F85-F86</f>
        <v>0</v>
      </c>
      <c r="G89" s="134">
        <f>G84+G85-G86</f>
        <v>0</v>
      </c>
      <c r="H89" s="134">
        <f>H84+H85-H86</f>
        <v>0</v>
      </c>
      <c r="I89" s="91">
        <f t="shared" si="12"/>
        <v>0</v>
      </c>
    </row>
    <row r="90" spans="1:9" s="24" customFormat="1" ht="13.5" customHeight="1">
      <c r="A90" s="391"/>
      <c r="B90" s="470" t="s">
        <v>16</v>
      </c>
      <c r="C90" s="135" t="s">
        <v>175</v>
      </c>
      <c r="D90" s="137">
        <v>7822.59</v>
      </c>
      <c r="E90" s="137">
        <v>12425.07</v>
      </c>
      <c r="F90" s="137">
        <v>19941.22</v>
      </c>
      <c r="G90" s="137">
        <v>6981.63</v>
      </c>
      <c r="H90" s="137">
        <v>8853.46</v>
      </c>
      <c r="I90" s="138">
        <f t="shared" si="12"/>
        <v>56023.97</v>
      </c>
    </row>
    <row r="91" spans="1:9" s="24" customFormat="1" ht="12.75">
      <c r="A91" s="391"/>
      <c r="B91" s="471"/>
      <c r="C91" s="128" t="s">
        <v>1</v>
      </c>
      <c r="D91" s="69">
        <v>47868.57</v>
      </c>
      <c r="E91" s="69">
        <v>82621.33</v>
      </c>
      <c r="F91" s="69">
        <v>199381.02</v>
      </c>
      <c r="G91" s="69">
        <v>112593.87</v>
      </c>
      <c r="H91" s="69">
        <v>114180.45</v>
      </c>
      <c r="I91" s="139">
        <f t="shared" si="12"/>
        <v>556645.24</v>
      </c>
    </row>
    <row r="92" spans="1:9" s="24" customFormat="1" ht="12.75">
      <c r="A92" s="391"/>
      <c r="B92" s="471"/>
      <c r="C92" s="128" t="s">
        <v>2</v>
      </c>
      <c r="D92" s="69">
        <v>46681.51</v>
      </c>
      <c r="E92" s="69">
        <v>87830.11</v>
      </c>
      <c r="F92" s="69">
        <v>192529.43</v>
      </c>
      <c r="G92" s="69">
        <v>109471.09</v>
      </c>
      <c r="H92" s="69">
        <v>115986.57</v>
      </c>
      <c r="I92" s="139">
        <f t="shared" si="12"/>
        <v>552498.71</v>
      </c>
    </row>
    <row r="93" spans="1:9" s="24" customFormat="1" ht="12.75">
      <c r="A93" s="391"/>
      <c r="B93" s="471"/>
      <c r="C93" s="128" t="s">
        <v>4</v>
      </c>
      <c r="D93" s="69">
        <f aca="true" t="shared" si="13" ref="D93:H94">+D91</f>
        <v>47868.57</v>
      </c>
      <c r="E93" s="69">
        <f t="shared" si="13"/>
        <v>82621.33</v>
      </c>
      <c r="F93" s="69">
        <f t="shared" si="13"/>
        <v>199381.02</v>
      </c>
      <c r="G93" s="69">
        <f t="shared" si="13"/>
        <v>112593.87</v>
      </c>
      <c r="H93" s="69">
        <f t="shared" si="13"/>
        <v>114180.45</v>
      </c>
      <c r="I93" s="139">
        <f t="shared" si="12"/>
        <v>556645.24</v>
      </c>
    </row>
    <row r="94" spans="1:9" s="24" customFormat="1" ht="12.75">
      <c r="A94" s="391"/>
      <c r="B94" s="471"/>
      <c r="C94" s="128" t="s">
        <v>3</v>
      </c>
      <c r="D94" s="69">
        <f t="shared" si="13"/>
        <v>46681.51</v>
      </c>
      <c r="E94" s="69">
        <f>E93+E90</f>
        <v>95046.4</v>
      </c>
      <c r="F94" s="69">
        <f>F93+F90</f>
        <v>219322.24</v>
      </c>
      <c r="G94" s="69">
        <f t="shared" si="13"/>
        <v>109471.09</v>
      </c>
      <c r="H94" s="69">
        <f t="shared" si="13"/>
        <v>115986.57</v>
      </c>
      <c r="I94" s="139">
        <f t="shared" si="12"/>
        <v>586507.81</v>
      </c>
    </row>
    <row r="95" spans="1:9" s="3" customFormat="1" ht="13.5" customHeight="1" thickBot="1">
      <c r="A95" s="391"/>
      <c r="B95" s="473"/>
      <c r="C95" s="140" t="s">
        <v>199</v>
      </c>
      <c r="D95" s="134">
        <f>D90+D91-D92</f>
        <v>9009.650000000001</v>
      </c>
      <c r="E95" s="134">
        <f>E90+E91-E92</f>
        <v>7216.289999999994</v>
      </c>
      <c r="F95" s="134">
        <f>F90+F91-F92</f>
        <v>26792.809999999998</v>
      </c>
      <c r="G95" s="134">
        <f>G90+G91-G92</f>
        <v>10104.410000000003</v>
      </c>
      <c r="H95" s="134">
        <f>H90+H91-H92</f>
        <v>7047.3399999999965</v>
      </c>
      <c r="I95" s="146">
        <f t="shared" si="12"/>
        <v>60170.49999999999</v>
      </c>
    </row>
    <row r="96" spans="1:9" ht="13.5" customHeight="1">
      <c r="A96" s="465" t="s">
        <v>188</v>
      </c>
      <c r="B96" s="393"/>
      <c r="C96" s="477"/>
      <c r="D96" s="124"/>
      <c r="E96" s="124"/>
      <c r="F96" s="124"/>
      <c r="G96" s="124"/>
      <c r="H96" s="124"/>
      <c r="I96" s="147"/>
    </row>
    <row r="97" spans="1:9" ht="12.75" customHeight="1">
      <c r="A97" s="476"/>
      <c r="B97" s="476"/>
      <c r="C97" s="355" t="s">
        <v>175</v>
      </c>
      <c r="D97" s="116">
        <f aca="true" t="shared" si="14" ref="D97:I102">D6+D12+D18+D24+D30+D36+D42+D48+D54+D90</f>
        <v>170628.28999999998</v>
      </c>
      <c r="E97" s="116">
        <f t="shared" si="14"/>
        <v>415493.20999999996</v>
      </c>
      <c r="F97" s="116">
        <f t="shared" si="14"/>
        <v>604555</v>
      </c>
      <c r="G97" s="116">
        <f t="shared" si="14"/>
        <v>283348.9600000001</v>
      </c>
      <c r="H97" s="116">
        <f t="shared" si="14"/>
        <v>209305.49000000002</v>
      </c>
      <c r="I97" s="116">
        <f t="shared" si="14"/>
        <v>1683330.95</v>
      </c>
    </row>
    <row r="98" spans="1:9" ht="12.75">
      <c r="A98" s="377"/>
      <c r="B98" s="377"/>
      <c r="C98" s="132" t="s">
        <v>1</v>
      </c>
      <c r="D98" s="116">
        <f t="shared" si="14"/>
        <v>1550028.6000000003</v>
      </c>
      <c r="E98" s="116">
        <f t="shared" si="14"/>
        <v>2685492.8200000003</v>
      </c>
      <c r="F98" s="116">
        <f t="shared" si="14"/>
        <v>5876378.699999998</v>
      </c>
      <c r="G98" s="116">
        <f t="shared" si="14"/>
        <v>3048279.0200000005</v>
      </c>
      <c r="H98" s="116">
        <f t="shared" si="14"/>
        <v>3054171.83</v>
      </c>
      <c r="I98" s="116">
        <f t="shared" si="14"/>
        <v>16214350.97</v>
      </c>
    </row>
    <row r="99" spans="1:9" ht="12.75">
      <c r="A99" s="377"/>
      <c r="B99" s="377"/>
      <c r="C99" s="132" t="s">
        <v>2</v>
      </c>
      <c r="D99" s="116">
        <f t="shared" si="14"/>
        <v>1373906.4900000002</v>
      </c>
      <c r="E99" s="116">
        <f t="shared" si="14"/>
        <v>2793188.92</v>
      </c>
      <c r="F99" s="116">
        <f t="shared" si="14"/>
        <v>5365443.22</v>
      </c>
      <c r="G99" s="116">
        <f t="shared" si="14"/>
        <v>3235542.04</v>
      </c>
      <c r="H99" s="116">
        <f t="shared" si="14"/>
        <v>3106567.499999999</v>
      </c>
      <c r="I99" s="116">
        <f t="shared" si="14"/>
        <v>15874648.169999998</v>
      </c>
    </row>
    <row r="100" spans="1:9" ht="12.75">
      <c r="A100" s="377"/>
      <c r="B100" s="377"/>
      <c r="C100" s="132" t="s">
        <v>4</v>
      </c>
      <c r="D100" s="116">
        <f t="shared" si="14"/>
        <v>1550028.6000000003</v>
      </c>
      <c r="E100" s="116">
        <f t="shared" si="14"/>
        <v>2685492.8200000003</v>
      </c>
      <c r="F100" s="116">
        <f t="shared" si="14"/>
        <v>5876378.699999998</v>
      </c>
      <c r="G100" s="116">
        <f t="shared" si="14"/>
        <v>3048279.0200000005</v>
      </c>
      <c r="H100" s="116">
        <f t="shared" si="14"/>
        <v>3054171.83</v>
      </c>
      <c r="I100" s="116">
        <f t="shared" si="14"/>
        <v>16214350.97</v>
      </c>
    </row>
    <row r="101" spans="1:9" ht="12.75">
      <c r="A101" s="377"/>
      <c r="B101" s="377"/>
      <c r="C101" s="132" t="s">
        <v>3</v>
      </c>
      <c r="D101" s="116">
        <f t="shared" si="14"/>
        <v>1373906.4900000002</v>
      </c>
      <c r="E101" s="116">
        <f t="shared" si="14"/>
        <v>2873151.35</v>
      </c>
      <c r="F101" s="116">
        <f t="shared" si="14"/>
        <v>5665926.29</v>
      </c>
      <c r="G101" s="116">
        <f t="shared" si="14"/>
        <v>3235542.04</v>
      </c>
      <c r="H101" s="116">
        <f t="shared" si="14"/>
        <v>3106567.499999999</v>
      </c>
      <c r="I101" s="116">
        <f t="shared" si="14"/>
        <v>16255093.669999998</v>
      </c>
    </row>
    <row r="102" spans="1:9" s="4" customFormat="1" ht="13.5" thickBot="1">
      <c r="A102" s="378"/>
      <c r="B102" s="378"/>
      <c r="C102" s="148" t="s">
        <v>199</v>
      </c>
      <c r="D102" s="126">
        <f t="shared" si="14"/>
        <v>346750.4</v>
      </c>
      <c r="E102" s="126">
        <f t="shared" si="14"/>
        <v>307797.1099999998</v>
      </c>
      <c r="F102" s="126">
        <f t="shared" si="14"/>
        <v>1115490.4800000002</v>
      </c>
      <c r="G102" s="126">
        <f t="shared" si="14"/>
        <v>96085.93999999977</v>
      </c>
      <c r="H102" s="126">
        <f t="shared" si="14"/>
        <v>156909.82000000018</v>
      </c>
      <c r="I102" s="126">
        <f t="shared" si="14"/>
        <v>2023033.75</v>
      </c>
    </row>
    <row r="103" spans="1:9" s="4" customFormat="1" ht="12.75">
      <c r="A103" s="390" t="s">
        <v>54</v>
      </c>
      <c r="B103" s="470" t="s">
        <v>43</v>
      </c>
      <c r="C103" s="135" t="s">
        <v>175</v>
      </c>
      <c r="D103" s="137">
        <v>33866.63</v>
      </c>
      <c r="E103" s="137">
        <v>54327.05</v>
      </c>
      <c r="F103" s="137">
        <v>87677.88</v>
      </c>
      <c r="G103" s="137">
        <v>30175.04</v>
      </c>
      <c r="H103" s="137">
        <v>39130.57</v>
      </c>
      <c r="I103" s="138">
        <f t="shared" si="12"/>
        <v>245177.17</v>
      </c>
    </row>
    <row r="104" spans="1:9" s="4" customFormat="1" ht="12.75">
      <c r="A104" s="391"/>
      <c r="B104" s="471"/>
      <c r="C104" s="128" t="s">
        <v>1</v>
      </c>
      <c r="D104" s="69">
        <v>211864.84</v>
      </c>
      <c r="E104" s="69">
        <v>365683.06</v>
      </c>
      <c r="F104" s="69">
        <v>883310.03</v>
      </c>
      <c r="G104" s="69">
        <v>498338.97</v>
      </c>
      <c r="H104" s="69">
        <v>505361.63</v>
      </c>
      <c r="I104" s="139">
        <f t="shared" si="12"/>
        <v>2464558.5300000003</v>
      </c>
    </row>
    <row r="105" spans="1:9" s="4" customFormat="1" ht="12.75">
      <c r="A105" s="391"/>
      <c r="B105" s="471"/>
      <c r="C105" s="128" t="s">
        <v>2</v>
      </c>
      <c r="D105" s="69">
        <v>206079.58</v>
      </c>
      <c r="E105" s="69">
        <v>388503.16</v>
      </c>
      <c r="F105" s="69">
        <v>843279.47</v>
      </c>
      <c r="G105" s="69">
        <v>484846.47</v>
      </c>
      <c r="H105" s="69">
        <v>513303.98</v>
      </c>
      <c r="I105" s="139">
        <f t="shared" si="12"/>
        <v>2436012.66</v>
      </c>
    </row>
    <row r="106" spans="1:9" s="4" customFormat="1" ht="12.75">
      <c r="A106" s="391"/>
      <c r="B106" s="471"/>
      <c r="C106" s="128" t="s">
        <v>4</v>
      </c>
      <c r="D106" s="164">
        <v>228592.66</v>
      </c>
      <c r="E106" s="164">
        <v>193595.46</v>
      </c>
      <c r="F106" s="164">
        <v>371834.46</v>
      </c>
      <c r="G106" s="164">
        <v>758757.39</v>
      </c>
      <c r="H106" s="164">
        <v>498261.31</v>
      </c>
      <c r="I106" s="321">
        <f t="shared" si="12"/>
        <v>2051041.2800000003</v>
      </c>
    </row>
    <row r="107" spans="1:9" s="4" customFormat="1" ht="12.75">
      <c r="A107" s="391"/>
      <c r="B107" s="471"/>
      <c r="C107" s="128" t="s">
        <v>3</v>
      </c>
      <c r="D107" s="69">
        <f>D105</f>
        <v>206079.58</v>
      </c>
      <c r="E107" s="69">
        <f>E106+E103</f>
        <v>247922.51</v>
      </c>
      <c r="F107" s="69">
        <f>F106+F103</f>
        <v>459512.34</v>
      </c>
      <c r="G107" s="69">
        <f>G105</f>
        <v>484846.47</v>
      </c>
      <c r="H107" s="69">
        <v>528400.25</v>
      </c>
      <c r="I107" s="139">
        <f t="shared" si="12"/>
        <v>1926761.15</v>
      </c>
    </row>
    <row r="108" spans="1:9" s="3" customFormat="1" ht="13.5" thickBot="1">
      <c r="A108" s="391"/>
      <c r="B108" s="472"/>
      <c r="C108" s="140" t="s">
        <v>199</v>
      </c>
      <c r="D108" s="70">
        <f>D103+D104-D105</f>
        <v>39651.890000000014</v>
      </c>
      <c r="E108" s="70">
        <f>E103+E104-E105</f>
        <v>31506.95000000001</v>
      </c>
      <c r="F108" s="70">
        <f>F103+F104-F105</f>
        <v>127708.44000000006</v>
      </c>
      <c r="G108" s="70">
        <f>G103+G104-G105</f>
        <v>43667.54000000004</v>
      </c>
      <c r="H108" s="70">
        <f>H103+H104-H105</f>
        <v>31188.219999999972</v>
      </c>
      <c r="I108" s="141">
        <f t="shared" si="12"/>
        <v>273723.0400000001</v>
      </c>
    </row>
    <row r="109" spans="1:9" s="4" customFormat="1" ht="12.75">
      <c r="A109" s="391"/>
      <c r="B109" s="470" t="s">
        <v>18</v>
      </c>
      <c r="C109" s="135" t="s">
        <v>175</v>
      </c>
      <c r="D109" s="137">
        <v>7029.1</v>
      </c>
      <c r="E109" s="137">
        <v>11435.41</v>
      </c>
      <c r="F109" s="137">
        <v>14745.04</v>
      </c>
      <c r="G109" s="137">
        <v>6159.97</v>
      </c>
      <c r="H109" s="137">
        <v>8085.97</v>
      </c>
      <c r="I109" s="138">
        <f t="shared" si="12"/>
        <v>47455.490000000005</v>
      </c>
    </row>
    <row r="110" spans="1:9" s="4" customFormat="1" ht="12.75">
      <c r="A110" s="391"/>
      <c r="B110" s="471"/>
      <c r="C110" s="128" t="s">
        <v>1</v>
      </c>
      <c r="D110" s="69">
        <v>43720.91</v>
      </c>
      <c r="E110" s="69">
        <v>75463.87</v>
      </c>
      <c r="F110" s="69">
        <v>177998.05</v>
      </c>
      <c r="G110" s="69">
        <v>102838.47</v>
      </c>
      <c r="H110" s="69">
        <v>104287.69</v>
      </c>
      <c r="I110" s="139">
        <f t="shared" si="12"/>
        <v>504308.98999999993</v>
      </c>
    </row>
    <row r="111" spans="1:9" s="4" customFormat="1" ht="12.75">
      <c r="A111" s="391"/>
      <c r="B111" s="471"/>
      <c r="C111" s="128" t="s">
        <v>2</v>
      </c>
      <c r="D111" s="69">
        <v>42562.07</v>
      </c>
      <c r="E111" s="69">
        <v>80220.15</v>
      </c>
      <c r="F111" s="69">
        <v>169403.92</v>
      </c>
      <c r="G111" s="69">
        <v>99986.23</v>
      </c>
      <c r="H111" s="69">
        <v>105936.99</v>
      </c>
      <c r="I111" s="139">
        <f t="shared" si="12"/>
        <v>498109.36</v>
      </c>
    </row>
    <row r="112" spans="1:9" s="4" customFormat="1" ht="12.75">
      <c r="A112" s="391"/>
      <c r="B112" s="471"/>
      <c r="C112" s="128" t="s">
        <v>4</v>
      </c>
      <c r="D112" s="69">
        <f aca="true" t="shared" si="15" ref="D112:H113">+D110</f>
        <v>43720.91</v>
      </c>
      <c r="E112" s="69">
        <f t="shared" si="15"/>
        <v>75463.87</v>
      </c>
      <c r="F112" s="69">
        <f t="shared" si="15"/>
        <v>177998.05</v>
      </c>
      <c r="G112" s="69">
        <f t="shared" si="15"/>
        <v>102838.47</v>
      </c>
      <c r="H112" s="69">
        <f t="shared" si="15"/>
        <v>104287.69</v>
      </c>
      <c r="I112" s="139">
        <f t="shared" si="12"/>
        <v>504308.98999999993</v>
      </c>
    </row>
    <row r="113" spans="1:9" s="4" customFormat="1" ht="12.75">
      <c r="A113" s="391"/>
      <c r="B113" s="471"/>
      <c r="C113" s="128" t="s">
        <v>3</v>
      </c>
      <c r="D113" s="69">
        <f t="shared" si="15"/>
        <v>42562.07</v>
      </c>
      <c r="E113" s="69">
        <f>E112+E109</f>
        <v>86899.28</v>
      </c>
      <c r="F113" s="69">
        <f>F112+F109</f>
        <v>192743.09</v>
      </c>
      <c r="G113" s="69">
        <f t="shared" si="15"/>
        <v>99986.23</v>
      </c>
      <c r="H113" s="69">
        <f t="shared" si="15"/>
        <v>105936.99</v>
      </c>
      <c r="I113" s="139">
        <f t="shared" si="12"/>
        <v>528127.66</v>
      </c>
    </row>
    <row r="114" spans="1:9" s="3" customFormat="1" ht="13.5" thickBot="1">
      <c r="A114" s="391"/>
      <c r="B114" s="472"/>
      <c r="C114" s="140" t="s">
        <v>199</v>
      </c>
      <c r="D114" s="70">
        <f>D109+D110-D111</f>
        <v>8187.940000000002</v>
      </c>
      <c r="E114" s="70">
        <f>E109+E110-E111</f>
        <v>6679.130000000005</v>
      </c>
      <c r="F114" s="70">
        <f>F109+F110-F111</f>
        <v>23339.169999999984</v>
      </c>
      <c r="G114" s="70">
        <f>G109+G110-G111</f>
        <v>9012.210000000006</v>
      </c>
      <c r="H114" s="70">
        <f>H109+H110-H111</f>
        <v>6436.669999999998</v>
      </c>
      <c r="I114" s="141">
        <f t="shared" si="12"/>
        <v>53655.119999999995</v>
      </c>
    </row>
    <row r="115" spans="1:9" s="4" customFormat="1" ht="12.75">
      <c r="A115" s="391"/>
      <c r="B115" s="470" t="s">
        <v>19</v>
      </c>
      <c r="C115" s="135" t="s">
        <v>175</v>
      </c>
      <c r="D115" s="137">
        <v>8218.26</v>
      </c>
      <c r="E115" s="137">
        <v>13178.9</v>
      </c>
      <c r="F115" s="137">
        <v>18584.77</v>
      </c>
      <c r="G115" s="137">
        <v>7133.89</v>
      </c>
      <c r="H115" s="137">
        <v>9365.48</v>
      </c>
      <c r="I115" s="138">
        <f t="shared" si="12"/>
        <v>56481.3</v>
      </c>
    </row>
    <row r="116" spans="1:9" s="4" customFormat="1" ht="12.75">
      <c r="A116" s="391"/>
      <c r="B116" s="471"/>
      <c r="C116" s="128" t="s">
        <v>1</v>
      </c>
      <c r="D116" s="69">
        <v>50633.31</v>
      </c>
      <c r="E116" s="69">
        <v>87394.65</v>
      </c>
      <c r="F116" s="69">
        <v>203562.76</v>
      </c>
      <c r="G116" s="69">
        <v>119097.25</v>
      </c>
      <c r="H116" s="69">
        <v>120775.74</v>
      </c>
      <c r="I116" s="139">
        <f t="shared" si="12"/>
        <v>581463.71</v>
      </c>
    </row>
    <row r="117" spans="1:9" s="4" customFormat="1" ht="12.75">
      <c r="A117" s="391"/>
      <c r="B117" s="471"/>
      <c r="C117" s="128" t="s">
        <v>2</v>
      </c>
      <c r="D117" s="69">
        <v>49339.94</v>
      </c>
      <c r="E117" s="69">
        <v>92905.49</v>
      </c>
      <c r="F117" s="69">
        <v>193344.65</v>
      </c>
      <c r="G117" s="69">
        <v>115794.11</v>
      </c>
      <c r="H117" s="69">
        <v>122686.9</v>
      </c>
      <c r="I117" s="139">
        <f t="shared" si="12"/>
        <v>574071.09</v>
      </c>
    </row>
    <row r="118" spans="1:9" s="4" customFormat="1" ht="12.75">
      <c r="A118" s="391"/>
      <c r="B118" s="471"/>
      <c r="C118" s="128" t="s">
        <v>4</v>
      </c>
      <c r="D118" s="69">
        <f aca="true" t="shared" si="16" ref="D118:H119">+D116</f>
        <v>50633.31</v>
      </c>
      <c r="E118" s="69">
        <f t="shared" si="16"/>
        <v>87394.65</v>
      </c>
      <c r="F118" s="69">
        <f t="shared" si="16"/>
        <v>203562.76</v>
      </c>
      <c r="G118" s="69">
        <f t="shared" si="16"/>
        <v>119097.25</v>
      </c>
      <c r="H118" s="69">
        <f t="shared" si="16"/>
        <v>120775.74</v>
      </c>
      <c r="I118" s="139">
        <f t="shared" si="12"/>
        <v>581463.71</v>
      </c>
    </row>
    <row r="119" spans="1:9" s="4" customFormat="1" ht="12.75">
      <c r="A119" s="391"/>
      <c r="B119" s="471"/>
      <c r="C119" s="128" t="s">
        <v>3</v>
      </c>
      <c r="D119" s="69">
        <f t="shared" si="16"/>
        <v>49339.94</v>
      </c>
      <c r="E119" s="69">
        <f>E118+E115</f>
        <v>100573.54999999999</v>
      </c>
      <c r="F119" s="69">
        <f>F118+F115</f>
        <v>222147.53</v>
      </c>
      <c r="G119" s="69">
        <f t="shared" si="16"/>
        <v>115794.11</v>
      </c>
      <c r="H119" s="69">
        <f t="shared" si="16"/>
        <v>122686.9</v>
      </c>
      <c r="I119" s="139">
        <f t="shared" si="12"/>
        <v>610542.03</v>
      </c>
    </row>
    <row r="120" spans="1:9" s="3" customFormat="1" ht="13.5" thickBot="1">
      <c r="A120" s="391"/>
      <c r="B120" s="472"/>
      <c r="C120" s="140" t="s">
        <v>199</v>
      </c>
      <c r="D120" s="70">
        <f>D115+D116-D117</f>
        <v>9511.629999999997</v>
      </c>
      <c r="E120" s="70">
        <f>E115+E116-E117</f>
        <v>7668.059999999983</v>
      </c>
      <c r="F120" s="70">
        <f>F115+F116-F117</f>
        <v>28802.880000000005</v>
      </c>
      <c r="G120" s="70">
        <f>G115+G116-G117</f>
        <v>10437.029999999999</v>
      </c>
      <c r="H120" s="70">
        <f>H115+H116-H117</f>
        <v>7454.320000000007</v>
      </c>
      <c r="I120" s="141">
        <f t="shared" si="12"/>
        <v>63873.91999999999</v>
      </c>
    </row>
    <row r="121" spans="1:9" s="24" customFormat="1" ht="12.75" customHeight="1" hidden="1" thickBot="1">
      <c r="A121" s="379"/>
      <c r="B121" s="456" t="s">
        <v>40</v>
      </c>
      <c r="C121" s="135" t="s">
        <v>156</v>
      </c>
      <c r="D121" s="149"/>
      <c r="E121" s="149"/>
      <c r="F121" s="149"/>
      <c r="G121" s="149"/>
      <c r="H121" s="149"/>
      <c r="I121" s="79">
        <f t="shared" si="12"/>
        <v>0</v>
      </c>
    </row>
    <row r="122" spans="1:9" s="24" customFormat="1" ht="12.75" customHeight="1" hidden="1">
      <c r="A122" s="379"/>
      <c r="B122" s="467"/>
      <c r="C122" s="128" t="s">
        <v>1</v>
      </c>
      <c r="D122" s="130"/>
      <c r="E122" s="130"/>
      <c r="F122" s="130"/>
      <c r="G122" s="130"/>
      <c r="H122" s="130"/>
      <c r="I122" s="80">
        <f t="shared" si="12"/>
        <v>0</v>
      </c>
    </row>
    <row r="123" spans="1:9" s="24" customFormat="1" ht="12.75" customHeight="1" hidden="1">
      <c r="A123" s="379"/>
      <c r="B123" s="467"/>
      <c r="C123" s="128" t="s">
        <v>2</v>
      </c>
      <c r="D123" s="130"/>
      <c r="E123" s="130"/>
      <c r="F123" s="130"/>
      <c r="G123" s="130"/>
      <c r="H123" s="130"/>
      <c r="I123" s="80">
        <f t="shared" si="12"/>
        <v>0</v>
      </c>
    </row>
    <row r="124" spans="1:10" s="24" customFormat="1" ht="12.75" customHeight="1" hidden="1">
      <c r="A124" s="379"/>
      <c r="B124" s="467"/>
      <c r="C124" s="128" t="s">
        <v>4</v>
      </c>
      <c r="D124" s="130"/>
      <c r="E124" s="130"/>
      <c r="F124" s="130"/>
      <c r="G124" s="130"/>
      <c r="H124" s="130"/>
      <c r="I124" s="80">
        <f t="shared" si="12"/>
        <v>0</v>
      </c>
      <c r="J124" s="28"/>
    </row>
    <row r="125" spans="1:9" s="24" customFormat="1" ht="12.75" customHeight="1" hidden="1">
      <c r="A125" s="379"/>
      <c r="B125" s="467"/>
      <c r="C125" s="128" t="s">
        <v>3</v>
      </c>
      <c r="D125" s="130"/>
      <c r="E125" s="130"/>
      <c r="F125" s="130"/>
      <c r="G125" s="130"/>
      <c r="H125" s="130"/>
      <c r="I125" s="80">
        <f t="shared" si="12"/>
        <v>0</v>
      </c>
    </row>
    <row r="126" spans="1:9" s="3" customFormat="1" ht="12.75" customHeight="1" hidden="1">
      <c r="A126" s="379"/>
      <c r="B126" s="467"/>
      <c r="C126" s="15" t="s">
        <v>160</v>
      </c>
      <c r="D126" s="92">
        <f>D121+D122-D123</f>
        <v>0</v>
      </c>
      <c r="E126" s="92">
        <f>E121+E122-E123</f>
        <v>0</v>
      </c>
      <c r="F126" s="92">
        <f>F121+F122-F123</f>
        <v>0</v>
      </c>
      <c r="G126" s="92">
        <f>G121+G122-G123</f>
        <v>0</v>
      </c>
      <c r="H126" s="92">
        <f>H121+H122-H123</f>
        <v>0</v>
      </c>
      <c r="I126" s="129">
        <f t="shared" si="12"/>
        <v>0</v>
      </c>
    </row>
    <row r="127" spans="1:9" s="24" customFormat="1" ht="13.5" customHeight="1" hidden="1" thickBot="1">
      <c r="A127" s="379"/>
      <c r="B127" s="467" t="s">
        <v>18</v>
      </c>
      <c r="C127" s="128" t="s">
        <v>156</v>
      </c>
      <c r="D127" s="130"/>
      <c r="E127" s="130"/>
      <c r="F127" s="130"/>
      <c r="G127" s="130"/>
      <c r="H127" s="130"/>
      <c r="I127" s="80">
        <f t="shared" si="12"/>
        <v>0</v>
      </c>
    </row>
    <row r="128" spans="1:9" s="24" customFormat="1" ht="13.5" customHeight="1" hidden="1" thickBot="1">
      <c r="A128" s="379"/>
      <c r="B128" s="467"/>
      <c r="C128" s="128" t="s">
        <v>1</v>
      </c>
      <c r="D128" s="130"/>
      <c r="E128" s="130"/>
      <c r="F128" s="130"/>
      <c r="G128" s="130"/>
      <c r="H128" s="130"/>
      <c r="I128" s="80">
        <f t="shared" si="12"/>
        <v>0</v>
      </c>
    </row>
    <row r="129" spans="1:9" s="24" customFormat="1" ht="13.5" customHeight="1" hidden="1" thickBot="1">
      <c r="A129" s="379"/>
      <c r="B129" s="467"/>
      <c r="C129" s="128" t="s">
        <v>2</v>
      </c>
      <c r="D129" s="130"/>
      <c r="E129" s="130"/>
      <c r="F129" s="130"/>
      <c r="G129" s="130"/>
      <c r="H129" s="130"/>
      <c r="I129" s="80">
        <f t="shared" si="12"/>
        <v>0</v>
      </c>
    </row>
    <row r="130" spans="1:10" s="24" customFormat="1" ht="13.5" customHeight="1" hidden="1" thickBot="1">
      <c r="A130" s="379"/>
      <c r="B130" s="467"/>
      <c r="C130" s="128" t="s">
        <v>4</v>
      </c>
      <c r="D130" s="130"/>
      <c r="E130" s="130"/>
      <c r="F130" s="130"/>
      <c r="G130" s="130"/>
      <c r="H130" s="130"/>
      <c r="I130" s="80">
        <f t="shared" si="12"/>
        <v>0</v>
      </c>
      <c r="J130" s="28"/>
    </row>
    <row r="131" spans="1:9" s="24" customFormat="1" ht="13.5" customHeight="1" hidden="1" thickBot="1">
      <c r="A131" s="379"/>
      <c r="B131" s="467"/>
      <c r="C131" s="128" t="s">
        <v>3</v>
      </c>
      <c r="D131" s="130"/>
      <c r="E131" s="130"/>
      <c r="F131" s="130"/>
      <c r="G131" s="130"/>
      <c r="H131" s="130"/>
      <c r="I131" s="80">
        <f t="shared" si="12"/>
        <v>0</v>
      </c>
    </row>
    <row r="132" spans="1:9" s="3" customFormat="1" ht="13.5" customHeight="1" hidden="1" thickBot="1">
      <c r="A132" s="379"/>
      <c r="B132" s="467"/>
      <c r="C132" s="15" t="s">
        <v>160</v>
      </c>
      <c r="D132" s="92">
        <f>D127+D128-D129</f>
        <v>0</v>
      </c>
      <c r="E132" s="92">
        <f>E127+E128-E129</f>
        <v>0</v>
      </c>
      <c r="F132" s="92">
        <f>F127+F128-F129</f>
        <v>0</v>
      </c>
      <c r="G132" s="92">
        <f>G127+G128-G129</f>
        <v>0</v>
      </c>
      <c r="H132" s="92">
        <f>H127+H128-H129</f>
        <v>0</v>
      </c>
      <c r="I132" s="129">
        <f t="shared" si="12"/>
        <v>0</v>
      </c>
    </row>
    <row r="133" spans="1:9" s="24" customFormat="1" ht="13.5" customHeight="1" hidden="1" thickBot="1">
      <c r="A133" s="379"/>
      <c r="B133" s="467" t="s">
        <v>19</v>
      </c>
      <c r="C133" s="128" t="s">
        <v>156</v>
      </c>
      <c r="D133" s="130"/>
      <c r="E133" s="130"/>
      <c r="F133" s="130"/>
      <c r="G133" s="130"/>
      <c r="H133" s="130"/>
      <c r="I133" s="80">
        <f t="shared" si="12"/>
        <v>0</v>
      </c>
    </row>
    <row r="134" spans="1:9" s="24" customFormat="1" ht="13.5" customHeight="1" hidden="1" thickBot="1">
      <c r="A134" s="379"/>
      <c r="B134" s="467"/>
      <c r="C134" s="128" t="s">
        <v>1</v>
      </c>
      <c r="D134" s="130"/>
      <c r="E134" s="130"/>
      <c r="F134" s="130"/>
      <c r="G134" s="130"/>
      <c r="H134" s="130"/>
      <c r="I134" s="80">
        <f t="shared" si="12"/>
        <v>0</v>
      </c>
    </row>
    <row r="135" spans="1:9" s="24" customFormat="1" ht="13.5" customHeight="1" hidden="1" thickBot="1">
      <c r="A135" s="379"/>
      <c r="B135" s="467"/>
      <c r="C135" s="128" t="s">
        <v>2</v>
      </c>
      <c r="D135" s="130"/>
      <c r="E135" s="130"/>
      <c r="F135" s="130"/>
      <c r="G135" s="130"/>
      <c r="H135" s="130"/>
      <c r="I135" s="80">
        <f t="shared" si="12"/>
        <v>0</v>
      </c>
    </row>
    <row r="136" spans="1:10" s="24" customFormat="1" ht="13.5" customHeight="1" hidden="1" thickBot="1">
      <c r="A136" s="379"/>
      <c r="B136" s="467"/>
      <c r="C136" s="128" t="s">
        <v>4</v>
      </c>
      <c r="D136" s="130"/>
      <c r="E136" s="130"/>
      <c r="F136" s="130"/>
      <c r="G136" s="130"/>
      <c r="H136" s="130"/>
      <c r="I136" s="80">
        <f t="shared" si="12"/>
        <v>0</v>
      </c>
      <c r="J136" s="28"/>
    </row>
    <row r="137" spans="1:9" s="24" customFormat="1" ht="13.5" customHeight="1" hidden="1" thickBot="1">
      <c r="A137" s="379"/>
      <c r="B137" s="467"/>
      <c r="C137" s="128" t="s">
        <v>3</v>
      </c>
      <c r="D137" s="130"/>
      <c r="E137" s="130"/>
      <c r="F137" s="130"/>
      <c r="G137" s="130"/>
      <c r="H137" s="130"/>
      <c r="I137" s="80">
        <f t="shared" si="12"/>
        <v>0</v>
      </c>
    </row>
    <row r="138" spans="1:9" s="3" customFormat="1" ht="13.5" customHeight="1" hidden="1" thickBot="1">
      <c r="A138" s="379"/>
      <c r="B138" s="467"/>
      <c r="C138" s="15" t="s">
        <v>160</v>
      </c>
      <c r="D138" s="92">
        <f>D133+D134-D135</f>
        <v>0</v>
      </c>
      <c r="E138" s="92">
        <f>E133+E134-E135</f>
        <v>0</v>
      </c>
      <c r="F138" s="92">
        <f>F133+F134-F135</f>
        <v>0</v>
      </c>
      <c r="G138" s="92">
        <f>G133+G134-G135</f>
        <v>0</v>
      </c>
      <c r="H138" s="92">
        <f>H133+H134-H135</f>
        <v>0</v>
      </c>
      <c r="I138" s="129">
        <f t="shared" si="12"/>
        <v>0</v>
      </c>
    </row>
    <row r="139" spans="1:9" s="24" customFormat="1" ht="12.75" customHeight="1" hidden="1">
      <c r="A139" s="379" t="s">
        <v>20</v>
      </c>
      <c r="B139" s="467" t="s">
        <v>21</v>
      </c>
      <c r="C139" s="128" t="s">
        <v>156</v>
      </c>
      <c r="D139" s="130"/>
      <c r="E139" s="130"/>
      <c r="F139" s="130"/>
      <c r="G139" s="130"/>
      <c r="H139" s="130"/>
      <c r="I139" s="80">
        <f t="shared" si="12"/>
        <v>0</v>
      </c>
    </row>
    <row r="140" spans="1:9" s="24" customFormat="1" ht="12.75" customHeight="1" hidden="1">
      <c r="A140" s="379"/>
      <c r="B140" s="467"/>
      <c r="C140" s="128" t="s">
        <v>1</v>
      </c>
      <c r="D140" s="130"/>
      <c r="E140" s="130"/>
      <c r="F140" s="130"/>
      <c r="G140" s="130"/>
      <c r="H140" s="130"/>
      <c r="I140" s="80">
        <f t="shared" si="12"/>
        <v>0</v>
      </c>
    </row>
    <row r="141" spans="1:9" s="24" customFormat="1" ht="12.75" customHeight="1" hidden="1">
      <c r="A141" s="379"/>
      <c r="B141" s="467"/>
      <c r="C141" s="128" t="s">
        <v>2</v>
      </c>
      <c r="D141" s="130"/>
      <c r="E141" s="130"/>
      <c r="F141" s="130"/>
      <c r="G141" s="130"/>
      <c r="H141" s="130"/>
      <c r="I141" s="80">
        <f t="shared" si="12"/>
        <v>0</v>
      </c>
    </row>
    <row r="142" spans="1:9" s="24" customFormat="1" ht="12.75" customHeight="1" hidden="1">
      <c r="A142" s="379"/>
      <c r="B142" s="467"/>
      <c r="C142" s="128" t="s">
        <v>4</v>
      </c>
      <c r="D142" s="130"/>
      <c r="E142" s="130"/>
      <c r="F142" s="130"/>
      <c r="G142" s="130"/>
      <c r="H142" s="130"/>
      <c r="I142" s="80">
        <f t="shared" si="12"/>
        <v>0</v>
      </c>
    </row>
    <row r="143" spans="1:9" s="24" customFormat="1" ht="12.75" customHeight="1" hidden="1">
      <c r="A143" s="379"/>
      <c r="B143" s="467"/>
      <c r="C143" s="128" t="s">
        <v>3</v>
      </c>
      <c r="D143" s="130"/>
      <c r="E143" s="130"/>
      <c r="F143" s="130"/>
      <c r="G143" s="130"/>
      <c r="H143" s="130"/>
      <c r="I143" s="80">
        <f t="shared" si="12"/>
        <v>0</v>
      </c>
    </row>
    <row r="144" spans="1:9" s="3" customFormat="1" ht="12.75" customHeight="1" hidden="1">
      <c r="A144" s="379"/>
      <c r="B144" s="467"/>
      <c r="C144" s="15" t="s">
        <v>160</v>
      </c>
      <c r="D144" s="92">
        <f>D139+D140-D141</f>
        <v>0</v>
      </c>
      <c r="E144" s="92">
        <f>E139+E140-E141</f>
        <v>0</v>
      </c>
      <c r="F144" s="92">
        <f>F139+F140-F141</f>
        <v>0</v>
      </c>
      <c r="G144" s="92">
        <f>G139+G140-G141</f>
        <v>0</v>
      </c>
      <c r="H144" s="92">
        <f>H139+H140-H141</f>
        <v>0</v>
      </c>
      <c r="I144" s="129">
        <f t="shared" si="12"/>
        <v>0</v>
      </c>
    </row>
    <row r="145" spans="1:9" s="24" customFormat="1" ht="12.75" customHeight="1" hidden="1" thickBot="1">
      <c r="A145" s="379" t="s">
        <v>22</v>
      </c>
      <c r="B145" s="467" t="s">
        <v>21</v>
      </c>
      <c r="C145" s="128" t="s">
        <v>156</v>
      </c>
      <c r="D145" s="130"/>
      <c r="E145" s="130"/>
      <c r="F145" s="130"/>
      <c r="G145" s="130"/>
      <c r="H145" s="130"/>
      <c r="I145" s="80">
        <f t="shared" si="12"/>
        <v>0</v>
      </c>
    </row>
    <row r="146" spans="1:9" s="24" customFormat="1" ht="13.5" customHeight="1" hidden="1" thickBot="1">
      <c r="A146" s="379"/>
      <c r="B146" s="467"/>
      <c r="C146" s="128" t="s">
        <v>1</v>
      </c>
      <c r="D146" s="130"/>
      <c r="E146" s="130"/>
      <c r="F146" s="130"/>
      <c r="G146" s="130"/>
      <c r="H146" s="130"/>
      <c r="I146" s="80">
        <f t="shared" si="12"/>
        <v>0</v>
      </c>
    </row>
    <row r="147" spans="1:9" s="24" customFormat="1" ht="13.5" customHeight="1" hidden="1" thickBot="1">
      <c r="A147" s="379"/>
      <c r="B147" s="467"/>
      <c r="C147" s="128" t="s">
        <v>2</v>
      </c>
      <c r="D147" s="130"/>
      <c r="E147" s="130"/>
      <c r="F147" s="130"/>
      <c r="G147" s="130"/>
      <c r="H147" s="130"/>
      <c r="I147" s="80">
        <f aca="true" t="shared" si="17" ref="I147:I235">SUM(D147:H147)</f>
        <v>0</v>
      </c>
    </row>
    <row r="148" spans="1:9" s="24" customFormat="1" ht="13.5" customHeight="1" hidden="1" thickBot="1">
      <c r="A148" s="379"/>
      <c r="B148" s="467"/>
      <c r="C148" s="128" t="s">
        <v>4</v>
      </c>
      <c r="D148" s="130"/>
      <c r="E148" s="130"/>
      <c r="F148" s="130"/>
      <c r="G148" s="130"/>
      <c r="H148" s="130"/>
      <c r="I148" s="80">
        <f t="shared" si="17"/>
        <v>0</v>
      </c>
    </row>
    <row r="149" spans="1:9" s="24" customFormat="1" ht="13.5" customHeight="1" hidden="1" thickBot="1">
      <c r="A149" s="379"/>
      <c r="B149" s="467"/>
      <c r="C149" s="128" t="s">
        <v>3</v>
      </c>
      <c r="D149" s="130"/>
      <c r="E149" s="130"/>
      <c r="F149" s="130"/>
      <c r="G149" s="130"/>
      <c r="H149" s="130"/>
      <c r="I149" s="80">
        <f t="shared" si="17"/>
        <v>0</v>
      </c>
    </row>
    <row r="150" spans="1:9" s="3" customFormat="1" ht="13.5" customHeight="1" hidden="1" thickBot="1">
      <c r="A150" s="379"/>
      <c r="B150" s="454"/>
      <c r="C150" s="16" t="s">
        <v>160</v>
      </c>
      <c r="D150" s="134">
        <f>D145+D146-D147</f>
        <v>0</v>
      </c>
      <c r="E150" s="134">
        <f>E145+E146-E147</f>
        <v>0</v>
      </c>
      <c r="F150" s="134">
        <f>F145+F146-F147</f>
        <v>0</v>
      </c>
      <c r="G150" s="134">
        <f>G145+G146-G147</f>
        <v>0</v>
      </c>
      <c r="H150" s="134">
        <f>H145+H146-H147</f>
        <v>0</v>
      </c>
      <c r="I150" s="91">
        <f t="shared" si="17"/>
        <v>0</v>
      </c>
    </row>
    <row r="151" spans="1:9" s="3" customFormat="1" ht="13.5" customHeight="1">
      <c r="A151" s="391" t="s">
        <v>148</v>
      </c>
      <c r="B151" s="470" t="s">
        <v>165</v>
      </c>
      <c r="C151" s="135" t="s">
        <v>175</v>
      </c>
      <c r="D151" s="137">
        <f>-638.02+447.96</f>
        <v>-190.06</v>
      </c>
      <c r="E151" s="137">
        <f>-7.3+713.68</f>
        <v>706.38</v>
      </c>
      <c r="F151" s="137">
        <f>-450.13+1106.45</f>
        <v>656.32</v>
      </c>
      <c r="G151" s="137">
        <f>-80.89+389.6</f>
        <v>308.71000000000004</v>
      </c>
      <c r="H151" s="137">
        <f>-228.52+511.96</f>
        <v>283.43999999999994</v>
      </c>
      <c r="I151" s="138">
        <f t="shared" si="17"/>
        <v>1764.79</v>
      </c>
    </row>
    <row r="152" spans="1:9" s="3" customFormat="1" ht="13.5" customHeight="1">
      <c r="A152" s="391"/>
      <c r="B152" s="471"/>
      <c r="C152" s="128" t="s">
        <v>1</v>
      </c>
      <c r="D152" s="69">
        <f>683.53+2764.86</f>
        <v>3448.3900000000003</v>
      </c>
      <c r="E152" s="69">
        <f>7.91+4772.24</f>
        <v>4780.15</v>
      </c>
      <c r="F152" s="69">
        <f>450.13+11426.01</f>
        <v>11876.14</v>
      </c>
      <c r="G152" s="69">
        <f>80.89+6503.37</f>
        <v>6584.26</v>
      </c>
      <c r="H152" s="69">
        <f>228.52+6594.91</f>
        <v>6823.43</v>
      </c>
      <c r="I152" s="139">
        <f t="shared" si="17"/>
        <v>33512.37</v>
      </c>
    </row>
    <row r="153" spans="1:9" s="3" customFormat="1" ht="13.5" customHeight="1">
      <c r="A153" s="391"/>
      <c r="B153" s="471"/>
      <c r="C153" s="128" t="s">
        <v>2</v>
      </c>
      <c r="D153" s="69">
        <f>45.51+2692.5</f>
        <v>2738.01</v>
      </c>
      <c r="E153" s="69">
        <f>0.61+5074.57</f>
        <v>5075.179999999999</v>
      </c>
      <c r="F153" s="69">
        <v>10914.78</v>
      </c>
      <c r="G153" s="69">
        <v>6322.95</v>
      </c>
      <c r="H153" s="69">
        <v>6699.8</v>
      </c>
      <c r="I153" s="139">
        <f t="shared" si="17"/>
        <v>31750.72</v>
      </c>
    </row>
    <row r="154" spans="1:9" s="3" customFormat="1" ht="13.5" customHeight="1">
      <c r="A154" s="391"/>
      <c r="B154" s="471"/>
      <c r="C154" s="128" t="s">
        <v>4</v>
      </c>
      <c r="D154" s="69">
        <f aca="true" t="shared" si="18" ref="D154:H155">+D152</f>
        <v>3448.3900000000003</v>
      </c>
      <c r="E154" s="69">
        <f t="shared" si="18"/>
        <v>4780.15</v>
      </c>
      <c r="F154" s="69">
        <f t="shared" si="18"/>
        <v>11876.14</v>
      </c>
      <c r="G154" s="69">
        <f t="shared" si="18"/>
        <v>6584.26</v>
      </c>
      <c r="H154" s="69">
        <f t="shared" si="18"/>
        <v>6823.43</v>
      </c>
      <c r="I154" s="139">
        <f t="shared" si="17"/>
        <v>33512.37</v>
      </c>
    </row>
    <row r="155" spans="1:9" s="3" customFormat="1" ht="13.5" customHeight="1">
      <c r="A155" s="391"/>
      <c r="B155" s="471"/>
      <c r="C155" s="128" t="s">
        <v>3</v>
      </c>
      <c r="D155" s="69">
        <f t="shared" si="18"/>
        <v>2738.01</v>
      </c>
      <c r="E155" s="69">
        <f t="shared" si="18"/>
        <v>5075.179999999999</v>
      </c>
      <c r="F155" s="69">
        <f t="shared" si="18"/>
        <v>10914.78</v>
      </c>
      <c r="G155" s="69">
        <f t="shared" si="18"/>
        <v>6322.95</v>
      </c>
      <c r="H155" s="69">
        <f t="shared" si="18"/>
        <v>6699.8</v>
      </c>
      <c r="I155" s="139">
        <f t="shared" si="17"/>
        <v>31750.72</v>
      </c>
    </row>
    <row r="156" spans="1:9" s="3" customFormat="1" ht="13.5" customHeight="1" thickBot="1">
      <c r="A156" s="391"/>
      <c r="B156" s="472"/>
      <c r="C156" s="140" t="s">
        <v>199</v>
      </c>
      <c r="D156" s="70">
        <f>D151+D152-D153</f>
        <v>520.3200000000002</v>
      </c>
      <c r="E156" s="70">
        <f>E151+E152-E153</f>
        <v>411.35000000000036</v>
      </c>
      <c r="F156" s="70">
        <f>F151+F152-F153</f>
        <v>1617.6799999999985</v>
      </c>
      <c r="G156" s="70">
        <f>G151+G152-G153</f>
        <v>570.0200000000004</v>
      </c>
      <c r="H156" s="70">
        <f>H151+H152-H153</f>
        <v>407.0699999999997</v>
      </c>
      <c r="I156" s="141">
        <f t="shared" si="17"/>
        <v>3526.439999999999</v>
      </c>
    </row>
    <row r="157" spans="1:9" s="3" customFormat="1" ht="13.5" customHeight="1">
      <c r="A157" s="391"/>
      <c r="B157" s="470" t="s">
        <v>152</v>
      </c>
      <c r="C157" s="135" t="s">
        <v>175</v>
      </c>
      <c r="D157" s="137">
        <v>1306.31</v>
      </c>
      <c r="E157" s="137">
        <v>2095.84</v>
      </c>
      <c r="F157" s="137">
        <v>3245.9</v>
      </c>
      <c r="G157" s="137">
        <v>1144.36</v>
      </c>
      <c r="H157" s="137">
        <v>1503.77</v>
      </c>
      <c r="I157" s="138">
        <f aca="true" t="shared" si="19" ref="I157:I162">SUM(D157:H157)</f>
        <v>9296.18</v>
      </c>
    </row>
    <row r="158" spans="1:9" s="3" customFormat="1" ht="13.5" customHeight="1">
      <c r="A158" s="391"/>
      <c r="B158" s="471"/>
      <c r="C158" s="128" t="s">
        <v>1</v>
      </c>
      <c r="D158" s="69">
        <v>7438.77</v>
      </c>
      <c r="E158" s="69">
        <v>14010.23</v>
      </c>
      <c r="F158" s="69">
        <v>33115.82</v>
      </c>
      <c r="G158" s="69">
        <v>19023.36</v>
      </c>
      <c r="H158" s="69">
        <v>19145.06</v>
      </c>
      <c r="I158" s="139">
        <f t="shared" si="19"/>
        <v>92733.23999999999</v>
      </c>
    </row>
    <row r="159" spans="1:9" s="3" customFormat="1" ht="13.5" customHeight="1">
      <c r="A159" s="391"/>
      <c r="B159" s="471"/>
      <c r="C159" s="128" t="s">
        <v>2</v>
      </c>
      <c r="D159" s="69">
        <v>7903.89</v>
      </c>
      <c r="E159" s="69">
        <v>14897.57</v>
      </c>
      <c r="F159" s="69">
        <v>31978.67</v>
      </c>
      <c r="G159" s="69">
        <v>18557.98</v>
      </c>
      <c r="H159" s="69">
        <v>19460.85</v>
      </c>
      <c r="I159" s="139">
        <f t="shared" si="19"/>
        <v>92798.95999999999</v>
      </c>
    </row>
    <row r="160" spans="1:9" s="3" customFormat="1" ht="13.5" customHeight="1">
      <c r="A160" s="391"/>
      <c r="B160" s="471"/>
      <c r="C160" s="128" t="s">
        <v>4</v>
      </c>
      <c r="D160" s="69">
        <f aca="true" t="shared" si="20" ref="D160:H161">+D158</f>
        <v>7438.77</v>
      </c>
      <c r="E160" s="69">
        <f t="shared" si="20"/>
        <v>14010.23</v>
      </c>
      <c r="F160" s="69">
        <f t="shared" si="20"/>
        <v>33115.82</v>
      </c>
      <c r="G160" s="69">
        <f t="shared" si="20"/>
        <v>19023.36</v>
      </c>
      <c r="H160" s="69">
        <f t="shared" si="20"/>
        <v>19145.06</v>
      </c>
      <c r="I160" s="139">
        <f t="shared" si="19"/>
        <v>92733.23999999999</v>
      </c>
    </row>
    <row r="161" spans="1:9" s="3" customFormat="1" ht="13.5" customHeight="1">
      <c r="A161" s="391"/>
      <c r="B161" s="471"/>
      <c r="C161" s="128" t="s">
        <v>3</v>
      </c>
      <c r="D161" s="69">
        <f t="shared" si="20"/>
        <v>7903.89</v>
      </c>
      <c r="E161" s="69">
        <f>E160+E157</f>
        <v>16106.07</v>
      </c>
      <c r="F161" s="69">
        <f>F160+F157</f>
        <v>36361.72</v>
      </c>
      <c r="G161" s="69">
        <f t="shared" si="20"/>
        <v>18557.98</v>
      </c>
      <c r="H161" s="69">
        <f t="shared" si="20"/>
        <v>19460.85</v>
      </c>
      <c r="I161" s="139">
        <f t="shared" si="19"/>
        <v>98390.51000000001</v>
      </c>
    </row>
    <row r="162" spans="1:9" s="3" customFormat="1" ht="13.5" customHeight="1" thickBot="1">
      <c r="A162" s="391"/>
      <c r="B162" s="472"/>
      <c r="C162" s="140" t="s">
        <v>199</v>
      </c>
      <c r="D162" s="70">
        <f>D157+D158-D159</f>
        <v>841.1899999999996</v>
      </c>
      <c r="E162" s="70">
        <f>E157+E158-E159</f>
        <v>1208.5</v>
      </c>
      <c r="F162" s="70">
        <f>F157+F158-F159</f>
        <v>4383.050000000003</v>
      </c>
      <c r="G162" s="70">
        <f>G157+G158-G159</f>
        <v>1609.7400000000016</v>
      </c>
      <c r="H162" s="70">
        <f>H157+H158-H159</f>
        <v>1187.9800000000032</v>
      </c>
      <c r="I162" s="141">
        <f t="shared" si="19"/>
        <v>9230.460000000006</v>
      </c>
    </row>
    <row r="163" spans="1:9" s="3" customFormat="1" ht="13.5" customHeight="1">
      <c r="A163" s="391"/>
      <c r="B163" s="470" t="s">
        <v>153</v>
      </c>
      <c r="C163" s="135" t="s">
        <v>175</v>
      </c>
      <c r="D163" s="137">
        <v>447.97</v>
      </c>
      <c r="E163" s="137">
        <v>713.7</v>
      </c>
      <c r="F163" s="137">
        <v>1106.47</v>
      </c>
      <c r="G163" s="137">
        <v>389.58</v>
      </c>
      <c r="H163" s="137">
        <v>511.96</v>
      </c>
      <c r="I163" s="138">
        <f aca="true" t="shared" si="21" ref="I163:I168">SUM(D163:H163)</f>
        <v>3169.6800000000003</v>
      </c>
    </row>
    <row r="164" spans="1:9" s="3" customFormat="1" ht="13.5" customHeight="1">
      <c r="A164" s="391"/>
      <c r="B164" s="471"/>
      <c r="C164" s="128" t="s">
        <v>1</v>
      </c>
      <c r="D164" s="69">
        <v>2764.86</v>
      </c>
      <c r="E164" s="69">
        <v>4772.24</v>
      </c>
      <c r="F164" s="69">
        <v>11426.01</v>
      </c>
      <c r="G164" s="69">
        <v>6503.37</v>
      </c>
      <c r="H164" s="69">
        <v>6594.91</v>
      </c>
      <c r="I164" s="139">
        <f t="shared" si="21"/>
        <v>32061.39</v>
      </c>
    </row>
    <row r="165" spans="1:9" s="3" customFormat="1" ht="13.5" customHeight="1">
      <c r="A165" s="391"/>
      <c r="B165" s="471"/>
      <c r="C165" s="128" t="s">
        <v>2</v>
      </c>
      <c r="D165" s="69">
        <v>2692.54</v>
      </c>
      <c r="E165" s="69">
        <v>5074.57</v>
      </c>
      <c r="F165" s="69">
        <v>10914.79</v>
      </c>
      <c r="G165" s="69">
        <v>6322.94</v>
      </c>
      <c r="H165" s="69">
        <v>6699.81</v>
      </c>
      <c r="I165" s="139">
        <f t="shared" si="21"/>
        <v>31704.65</v>
      </c>
    </row>
    <row r="166" spans="1:9" s="3" customFormat="1" ht="13.5" customHeight="1">
      <c r="A166" s="391"/>
      <c r="B166" s="471"/>
      <c r="C166" s="128" t="s">
        <v>4</v>
      </c>
      <c r="D166" s="69">
        <f aca="true" t="shared" si="22" ref="D166:H167">+D164</f>
        <v>2764.86</v>
      </c>
      <c r="E166" s="69">
        <f t="shared" si="22"/>
        <v>4772.24</v>
      </c>
      <c r="F166" s="69">
        <f t="shared" si="22"/>
        <v>11426.01</v>
      </c>
      <c r="G166" s="69">
        <f t="shared" si="22"/>
        <v>6503.37</v>
      </c>
      <c r="H166" s="69">
        <f t="shared" si="22"/>
        <v>6594.91</v>
      </c>
      <c r="I166" s="139">
        <f t="shared" si="21"/>
        <v>32061.39</v>
      </c>
    </row>
    <row r="167" spans="1:9" s="3" customFormat="1" ht="13.5" customHeight="1">
      <c r="A167" s="391"/>
      <c r="B167" s="471"/>
      <c r="C167" s="128" t="s">
        <v>3</v>
      </c>
      <c r="D167" s="69">
        <f t="shared" si="22"/>
        <v>2692.54</v>
      </c>
      <c r="E167" s="69">
        <f t="shared" si="22"/>
        <v>5074.57</v>
      </c>
      <c r="F167" s="69">
        <f t="shared" si="22"/>
        <v>10914.79</v>
      </c>
      <c r="G167" s="69">
        <f t="shared" si="22"/>
        <v>6322.94</v>
      </c>
      <c r="H167" s="69">
        <f t="shared" si="22"/>
        <v>6699.81</v>
      </c>
      <c r="I167" s="139">
        <f t="shared" si="21"/>
        <v>31704.65</v>
      </c>
    </row>
    <row r="168" spans="1:9" s="3" customFormat="1" ht="13.5" customHeight="1" thickBot="1">
      <c r="A168" s="391"/>
      <c r="B168" s="472"/>
      <c r="C168" s="140" t="s">
        <v>199</v>
      </c>
      <c r="D168" s="70">
        <f>D163+D164-D165</f>
        <v>520.29</v>
      </c>
      <c r="E168" s="70">
        <f>E163+E164-E165</f>
        <v>411.3699999999999</v>
      </c>
      <c r="F168" s="70">
        <f>F163+F164-F165</f>
        <v>1617.6899999999987</v>
      </c>
      <c r="G168" s="70">
        <f>G163+G164-G165</f>
        <v>570.0100000000002</v>
      </c>
      <c r="H168" s="70">
        <f>H163+H164-H165</f>
        <v>407.0599999999995</v>
      </c>
      <c r="I168" s="141">
        <f t="shared" si="21"/>
        <v>3526.4199999999983</v>
      </c>
    </row>
    <row r="169" spans="1:9" s="24" customFormat="1" ht="12.75" customHeight="1">
      <c r="A169" s="391" t="s">
        <v>111</v>
      </c>
      <c r="B169" s="470" t="s">
        <v>21</v>
      </c>
      <c r="C169" s="135" t="s">
        <v>175</v>
      </c>
      <c r="D169" s="137">
        <v>5489.52</v>
      </c>
      <c r="E169" s="137">
        <v>8244.55</v>
      </c>
      <c r="F169" s="137">
        <v>12336.59</v>
      </c>
      <c r="G169" s="137">
        <v>4522.11</v>
      </c>
      <c r="H169" s="137">
        <v>5937.08</v>
      </c>
      <c r="I169" s="150">
        <f t="shared" si="17"/>
        <v>36529.85</v>
      </c>
    </row>
    <row r="170" spans="1:9" s="24" customFormat="1" ht="12.75">
      <c r="A170" s="391"/>
      <c r="B170" s="471"/>
      <c r="C170" s="128" t="s">
        <v>1</v>
      </c>
      <c r="D170" s="69">
        <v>32142.54</v>
      </c>
      <c r="E170" s="69">
        <v>55478.77</v>
      </c>
      <c r="F170" s="69">
        <v>130859.36</v>
      </c>
      <c r="G170" s="69">
        <v>75604.25</v>
      </c>
      <c r="H170" s="69">
        <v>76669.6</v>
      </c>
      <c r="I170" s="151">
        <f t="shared" si="17"/>
        <v>370754.52</v>
      </c>
    </row>
    <row r="171" spans="1:9" s="24" customFormat="1" ht="12.75">
      <c r="A171" s="391"/>
      <c r="B171" s="471"/>
      <c r="C171" s="128" t="s">
        <v>2</v>
      </c>
      <c r="D171" s="69">
        <v>31492.89</v>
      </c>
      <c r="E171" s="69">
        <v>58943.24</v>
      </c>
      <c r="F171" s="69">
        <v>124903.47</v>
      </c>
      <c r="G171" s="69">
        <v>73501.38</v>
      </c>
      <c r="H171" s="69">
        <v>77875.04</v>
      </c>
      <c r="I171" s="151">
        <f t="shared" si="17"/>
        <v>366716.01999999996</v>
      </c>
    </row>
    <row r="172" spans="1:9" s="24" customFormat="1" ht="12.75">
      <c r="A172" s="391"/>
      <c r="B172" s="471"/>
      <c r="C172" s="128" t="s">
        <v>4</v>
      </c>
      <c r="D172" s="164">
        <v>32941.32</v>
      </c>
      <c r="E172" s="164">
        <v>74283.46</v>
      </c>
      <c r="F172" s="164">
        <v>136768.33</v>
      </c>
      <c r="G172" s="164">
        <v>82651.08</v>
      </c>
      <c r="H172" s="164">
        <v>56841.69</v>
      </c>
      <c r="I172" s="321">
        <f t="shared" si="17"/>
        <v>383485.88</v>
      </c>
    </row>
    <row r="173" spans="1:9" s="24" customFormat="1" ht="12.75">
      <c r="A173" s="391"/>
      <c r="B173" s="471"/>
      <c r="C173" s="128" t="s">
        <v>3</v>
      </c>
      <c r="D173" s="69">
        <f>+D171</f>
        <v>31492.89</v>
      </c>
      <c r="E173" s="69">
        <f>E172+E169</f>
        <v>82528.01000000001</v>
      </c>
      <c r="F173" s="69">
        <f>F172+F169</f>
        <v>149104.91999999998</v>
      </c>
      <c r="G173" s="69">
        <f>+G171</f>
        <v>73501.38</v>
      </c>
      <c r="H173" s="69">
        <f>H172+H169</f>
        <v>62778.770000000004</v>
      </c>
      <c r="I173" s="139">
        <f t="shared" si="17"/>
        <v>399405.97000000003</v>
      </c>
    </row>
    <row r="174" spans="1:9" s="3" customFormat="1" ht="13.5" thickBot="1">
      <c r="A174" s="391"/>
      <c r="B174" s="472"/>
      <c r="C174" s="140" t="s">
        <v>199</v>
      </c>
      <c r="D174" s="70">
        <f>D169+D170-D171</f>
        <v>6139.169999999998</v>
      </c>
      <c r="E174" s="70">
        <f>E169+E170-E171</f>
        <v>4780.0799999999945</v>
      </c>
      <c r="F174" s="70">
        <f>F169+F170-F171</f>
        <v>18292.48000000001</v>
      </c>
      <c r="G174" s="70">
        <f>G169+G170-G171</f>
        <v>6624.979999999996</v>
      </c>
      <c r="H174" s="70">
        <f>H169+H170-H171</f>
        <v>4731.640000000014</v>
      </c>
      <c r="I174" s="141">
        <f t="shared" si="17"/>
        <v>40568.35000000001</v>
      </c>
    </row>
    <row r="175" spans="1:9" s="3" customFormat="1" ht="12.75" customHeight="1" hidden="1">
      <c r="A175" s="379"/>
      <c r="B175" s="456" t="s">
        <v>18</v>
      </c>
      <c r="C175" s="135" t="s">
        <v>156</v>
      </c>
      <c r="D175" s="79"/>
      <c r="E175" s="79"/>
      <c r="F175" s="79">
        <v>-0.055</v>
      </c>
      <c r="G175" s="79"/>
      <c r="H175" s="79"/>
      <c r="I175" s="79">
        <f t="shared" si="17"/>
        <v>-0.055</v>
      </c>
    </row>
    <row r="176" spans="1:9" s="3" customFormat="1" ht="12.75" customHeight="1" hidden="1">
      <c r="A176" s="379"/>
      <c r="B176" s="467"/>
      <c r="C176" s="128" t="s">
        <v>1</v>
      </c>
      <c r="D176" s="80"/>
      <c r="E176" s="80"/>
      <c r="F176" s="80">
        <v>0</v>
      </c>
      <c r="G176" s="80"/>
      <c r="H176" s="80"/>
      <c r="I176" s="80">
        <f t="shared" si="17"/>
        <v>0</v>
      </c>
    </row>
    <row r="177" spans="1:9" s="3" customFormat="1" ht="12.75" customHeight="1" hidden="1">
      <c r="A177" s="379"/>
      <c r="B177" s="467"/>
      <c r="C177" s="128" t="s">
        <v>2</v>
      </c>
      <c r="D177" s="80"/>
      <c r="E177" s="80"/>
      <c r="F177" s="80">
        <v>0</v>
      </c>
      <c r="G177" s="80"/>
      <c r="H177" s="80"/>
      <c r="I177" s="80">
        <f t="shared" si="17"/>
        <v>0</v>
      </c>
    </row>
    <row r="178" spans="1:9" s="3" customFormat="1" ht="12.75" customHeight="1" hidden="1">
      <c r="A178" s="379"/>
      <c r="B178" s="467"/>
      <c r="C178" s="128" t="s">
        <v>4</v>
      </c>
      <c r="D178" s="130">
        <f>D176</f>
        <v>0</v>
      </c>
      <c r="E178" s="130">
        <f>E176</f>
        <v>0</v>
      </c>
      <c r="F178" s="130">
        <f>F176</f>
        <v>0</v>
      </c>
      <c r="G178" s="130">
        <f>G176</f>
        <v>0</v>
      </c>
      <c r="H178" s="130">
        <f>H176</f>
        <v>0</v>
      </c>
      <c r="I178" s="80">
        <f t="shared" si="17"/>
        <v>0</v>
      </c>
    </row>
    <row r="179" spans="1:9" s="3" customFormat="1" ht="12.75" customHeight="1" hidden="1">
      <c r="A179" s="379"/>
      <c r="B179" s="467"/>
      <c r="C179" s="128" t="s">
        <v>3</v>
      </c>
      <c r="D179" s="130">
        <f>D176</f>
        <v>0</v>
      </c>
      <c r="E179" s="130">
        <f>E176</f>
        <v>0</v>
      </c>
      <c r="F179" s="130">
        <f>F176</f>
        <v>0</v>
      </c>
      <c r="G179" s="130">
        <f>G176</f>
        <v>0</v>
      </c>
      <c r="H179" s="130">
        <f>H176</f>
        <v>0</v>
      </c>
      <c r="I179" s="80">
        <f t="shared" si="17"/>
        <v>0</v>
      </c>
    </row>
    <row r="180" spans="1:9" s="3" customFormat="1" ht="12.75" customHeight="1" hidden="1">
      <c r="A180" s="379"/>
      <c r="B180" s="467"/>
      <c r="C180" s="15" t="s">
        <v>160</v>
      </c>
      <c r="D180" s="92">
        <f>D175+D176-D177</f>
        <v>0</v>
      </c>
      <c r="E180" s="92">
        <f>E175+E176-E177</f>
        <v>0</v>
      </c>
      <c r="F180" s="92">
        <f>F175+F176-F177</f>
        <v>-0.055</v>
      </c>
      <c r="G180" s="92">
        <f>G175+G176-G177</f>
        <v>0</v>
      </c>
      <c r="H180" s="92">
        <f>H175+H176-H177</f>
        <v>0</v>
      </c>
      <c r="I180" s="129">
        <f t="shared" si="17"/>
        <v>-0.055</v>
      </c>
    </row>
    <row r="181" spans="1:9" s="3" customFormat="1" ht="12.75" customHeight="1" hidden="1">
      <c r="A181" s="379"/>
      <c r="B181" s="467" t="s">
        <v>33</v>
      </c>
      <c r="C181" s="128" t="s">
        <v>156</v>
      </c>
      <c r="D181" s="80"/>
      <c r="E181" s="80"/>
      <c r="F181" s="80"/>
      <c r="G181" s="80"/>
      <c r="H181" s="80"/>
      <c r="I181" s="80">
        <f t="shared" si="17"/>
        <v>0</v>
      </c>
    </row>
    <row r="182" spans="1:9" s="3" customFormat="1" ht="12.75" customHeight="1" hidden="1">
      <c r="A182" s="379"/>
      <c r="B182" s="467"/>
      <c r="C182" s="128" t="s">
        <v>1</v>
      </c>
      <c r="D182" s="80"/>
      <c r="E182" s="80"/>
      <c r="F182" s="80"/>
      <c r="G182" s="80"/>
      <c r="H182" s="80"/>
      <c r="I182" s="80">
        <f t="shared" si="17"/>
        <v>0</v>
      </c>
    </row>
    <row r="183" spans="1:9" s="3" customFormat="1" ht="12.75" customHeight="1" hidden="1">
      <c r="A183" s="379"/>
      <c r="B183" s="467"/>
      <c r="C183" s="128" t="s">
        <v>2</v>
      </c>
      <c r="D183" s="80"/>
      <c r="E183" s="80"/>
      <c r="F183" s="80"/>
      <c r="G183" s="80"/>
      <c r="H183" s="80"/>
      <c r="I183" s="80">
        <f t="shared" si="17"/>
        <v>0</v>
      </c>
    </row>
    <row r="184" spans="1:9" s="3" customFormat="1" ht="12.75" customHeight="1" hidden="1">
      <c r="A184" s="379"/>
      <c r="B184" s="467"/>
      <c r="C184" s="128" t="s">
        <v>4</v>
      </c>
      <c r="D184" s="80"/>
      <c r="E184" s="80"/>
      <c r="F184" s="80"/>
      <c r="G184" s="80"/>
      <c r="H184" s="80"/>
      <c r="I184" s="80">
        <f t="shared" si="17"/>
        <v>0</v>
      </c>
    </row>
    <row r="185" spans="1:9" s="3" customFormat="1" ht="12.75" customHeight="1" hidden="1">
      <c r="A185" s="379"/>
      <c r="B185" s="467"/>
      <c r="C185" s="128" t="s">
        <v>3</v>
      </c>
      <c r="D185" s="80"/>
      <c r="E185" s="80"/>
      <c r="F185" s="80"/>
      <c r="G185" s="80"/>
      <c r="H185" s="80"/>
      <c r="I185" s="80">
        <f t="shared" si="17"/>
        <v>0</v>
      </c>
    </row>
    <row r="186" spans="1:9" s="3" customFormat="1" ht="12.75" customHeight="1" hidden="1">
      <c r="A186" s="379"/>
      <c r="B186" s="467"/>
      <c r="C186" s="15" t="s">
        <v>160</v>
      </c>
      <c r="D186" s="92">
        <f>D181+D182-D183</f>
        <v>0</v>
      </c>
      <c r="E186" s="92">
        <f>E181+E182-E183</f>
        <v>0</v>
      </c>
      <c r="F186" s="92">
        <f>F181+F182-F183</f>
        <v>0</v>
      </c>
      <c r="G186" s="92">
        <f>G181+G182-G183</f>
        <v>0</v>
      </c>
      <c r="H186" s="92">
        <f>H181+H182-H183</f>
        <v>0</v>
      </c>
      <c r="I186" s="129">
        <f t="shared" si="17"/>
        <v>0</v>
      </c>
    </row>
    <row r="187" spans="1:9" s="3" customFormat="1" ht="15" customHeight="1" hidden="1" thickBot="1">
      <c r="A187" s="379"/>
      <c r="B187" s="467" t="s">
        <v>42</v>
      </c>
      <c r="C187" s="128" t="s">
        <v>156</v>
      </c>
      <c r="D187" s="80"/>
      <c r="E187" s="80"/>
      <c r="F187" s="80"/>
      <c r="G187" s="80"/>
      <c r="H187" s="80"/>
      <c r="I187" s="80">
        <f t="shared" si="17"/>
        <v>0</v>
      </c>
    </row>
    <row r="188" spans="1:9" s="3" customFormat="1" ht="12.75" customHeight="1" hidden="1">
      <c r="A188" s="379"/>
      <c r="B188" s="467"/>
      <c r="C188" s="128" t="s">
        <v>1</v>
      </c>
      <c r="D188" s="80"/>
      <c r="E188" s="80"/>
      <c r="F188" s="80"/>
      <c r="G188" s="80"/>
      <c r="H188" s="80"/>
      <c r="I188" s="80">
        <f t="shared" si="17"/>
        <v>0</v>
      </c>
    </row>
    <row r="189" spans="1:9" s="3" customFormat="1" ht="12.75" customHeight="1" hidden="1">
      <c r="A189" s="379"/>
      <c r="B189" s="467"/>
      <c r="C189" s="128" t="s">
        <v>2</v>
      </c>
      <c r="D189" s="80"/>
      <c r="E189" s="80"/>
      <c r="F189" s="80"/>
      <c r="G189" s="80"/>
      <c r="H189" s="80"/>
      <c r="I189" s="80">
        <f t="shared" si="17"/>
        <v>0</v>
      </c>
    </row>
    <row r="190" spans="1:9" s="3" customFormat="1" ht="12.75" customHeight="1" hidden="1">
      <c r="A190" s="379"/>
      <c r="B190" s="467"/>
      <c r="C190" s="128" t="s">
        <v>4</v>
      </c>
      <c r="D190" s="92"/>
      <c r="E190" s="92"/>
      <c r="F190" s="92"/>
      <c r="G190" s="92"/>
      <c r="H190" s="92"/>
      <c r="I190" s="80">
        <f t="shared" si="17"/>
        <v>0</v>
      </c>
    </row>
    <row r="191" spans="1:9" s="3" customFormat="1" ht="12.75" customHeight="1" hidden="1">
      <c r="A191" s="379"/>
      <c r="B191" s="467"/>
      <c r="C191" s="128" t="s">
        <v>3</v>
      </c>
      <c r="D191" s="92"/>
      <c r="E191" s="92"/>
      <c r="F191" s="92"/>
      <c r="G191" s="92"/>
      <c r="H191" s="92"/>
      <c r="I191" s="80">
        <f t="shared" si="17"/>
        <v>0</v>
      </c>
    </row>
    <row r="192" spans="1:9" s="3" customFormat="1" ht="12.75" customHeight="1" hidden="1">
      <c r="A192" s="379"/>
      <c r="B192" s="454"/>
      <c r="C192" s="16" t="s">
        <v>160</v>
      </c>
      <c r="D192" s="134">
        <f>D187+D188-D189</f>
        <v>0</v>
      </c>
      <c r="E192" s="134">
        <f>E187+E188-E189</f>
        <v>0</v>
      </c>
      <c r="F192" s="134">
        <f>F187+F188-F189</f>
        <v>0</v>
      </c>
      <c r="G192" s="134">
        <f>G187+G188-G189</f>
        <v>0</v>
      </c>
      <c r="H192" s="134">
        <f>H187+H188-H189</f>
        <v>0</v>
      </c>
      <c r="I192" s="91">
        <f t="shared" si="17"/>
        <v>0</v>
      </c>
    </row>
    <row r="193" spans="1:9" s="3" customFormat="1" ht="12.75">
      <c r="A193" s="391"/>
      <c r="B193" s="470" t="s">
        <v>149</v>
      </c>
      <c r="C193" s="135" t="s">
        <v>175</v>
      </c>
      <c r="D193" s="137">
        <v>692.21</v>
      </c>
      <c r="E193" s="137">
        <v>1157.53</v>
      </c>
      <c r="F193" s="137">
        <v>1727.55</v>
      </c>
      <c r="G193" s="137">
        <v>633.1</v>
      </c>
      <c r="H193" s="137">
        <v>831.01</v>
      </c>
      <c r="I193" s="150">
        <f aca="true" t="shared" si="23" ref="I193:I198">SUM(D193:H193)</f>
        <v>5041.400000000001</v>
      </c>
    </row>
    <row r="194" spans="1:9" s="3" customFormat="1" ht="12.75">
      <c r="A194" s="391"/>
      <c r="B194" s="471"/>
      <c r="C194" s="128" t="s">
        <v>1</v>
      </c>
      <c r="D194" s="69">
        <v>4492.96</v>
      </c>
      <c r="E194" s="69">
        <v>7754.99</v>
      </c>
      <c r="F194" s="69">
        <v>18291.59</v>
      </c>
      <c r="G194" s="69">
        <v>10568.13</v>
      </c>
      <c r="H194" s="69">
        <v>10716.95</v>
      </c>
      <c r="I194" s="151">
        <f t="shared" si="23"/>
        <v>51824.619999999995</v>
      </c>
    </row>
    <row r="195" spans="1:9" s="3" customFormat="1" ht="12.75">
      <c r="A195" s="391"/>
      <c r="B195" s="471"/>
      <c r="C195" s="128" t="s">
        <v>2</v>
      </c>
      <c r="D195" s="69">
        <v>4354</v>
      </c>
      <c r="E195" s="69">
        <v>8244.14</v>
      </c>
      <c r="F195" s="69">
        <v>17461.63</v>
      </c>
      <c r="G195" s="69">
        <v>10274.94</v>
      </c>
      <c r="H195" s="69">
        <v>10886.55</v>
      </c>
      <c r="I195" s="151">
        <f t="shared" si="23"/>
        <v>51221.259999999995</v>
      </c>
    </row>
    <row r="196" spans="1:9" s="3" customFormat="1" ht="12.75">
      <c r="A196" s="391"/>
      <c r="B196" s="471"/>
      <c r="C196" s="128" t="s">
        <v>4</v>
      </c>
      <c r="D196" s="69">
        <f aca="true" t="shared" si="24" ref="D196:H197">+D194</f>
        <v>4492.96</v>
      </c>
      <c r="E196" s="69">
        <f t="shared" si="24"/>
        <v>7754.99</v>
      </c>
      <c r="F196" s="69">
        <f t="shared" si="24"/>
        <v>18291.59</v>
      </c>
      <c r="G196" s="69">
        <f t="shared" si="24"/>
        <v>10568.13</v>
      </c>
      <c r="H196" s="69">
        <f t="shared" si="24"/>
        <v>10716.95</v>
      </c>
      <c r="I196" s="151">
        <f t="shared" si="23"/>
        <v>51824.619999999995</v>
      </c>
    </row>
    <row r="197" spans="1:9" s="3" customFormat="1" ht="12.75">
      <c r="A197" s="391"/>
      <c r="B197" s="471"/>
      <c r="C197" s="128" t="s">
        <v>3</v>
      </c>
      <c r="D197" s="69">
        <f t="shared" si="24"/>
        <v>4354</v>
      </c>
      <c r="E197" s="69">
        <f t="shared" si="24"/>
        <v>8244.14</v>
      </c>
      <c r="F197" s="69">
        <f>F196+F193</f>
        <v>20019.14</v>
      </c>
      <c r="G197" s="69">
        <f t="shared" si="24"/>
        <v>10274.94</v>
      </c>
      <c r="H197" s="69">
        <f t="shared" si="24"/>
        <v>10886.55</v>
      </c>
      <c r="I197" s="139">
        <f t="shared" si="23"/>
        <v>53778.770000000004</v>
      </c>
    </row>
    <row r="198" spans="1:9" s="3" customFormat="1" ht="13.5" thickBot="1">
      <c r="A198" s="391"/>
      <c r="B198" s="472"/>
      <c r="C198" s="140" t="s">
        <v>199</v>
      </c>
      <c r="D198" s="70">
        <f>D193+D194-D195</f>
        <v>831.1700000000001</v>
      </c>
      <c r="E198" s="70">
        <f>E193+E194-E195</f>
        <v>668.380000000001</v>
      </c>
      <c r="F198" s="70">
        <f>F193+F194-F195</f>
        <v>2557.5099999999984</v>
      </c>
      <c r="G198" s="70">
        <f>G193+G194-G195</f>
        <v>926.289999999999</v>
      </c>
      <c r="H198" s="70">
        <f>H193+H194-H195</f>
        <v>661.4100000000017</v>
      </c>
      <c r="I198" s="141">
        <f t="shared" si="23"/>
        <v>5644.76</v>
      </c>
    </row>
    <row r="199" spans="1:9" s="24" customFormat="1" ht="12.75" customHeight="1">
      <c r="A199" s="391" t="s">
        <v>118</v>
      </c>
      <c r="B199" s="470" t="s">
        <v>41</v>
      </c>
      <c r="C199" s="135" t="s">
        <v>175</v>
      </c>
      <c r="D199" s="137">
        <v>25834.11</v>
      </c>
      <c r="E199" s="137">
        <v>63264.16</v>
      </c>
      <c r="F199" s="137">
        <f>805.08-100.13+61129.22</f>
        <v>61834.17</v>
      </c>
      <c r="G199" s="137">
        <v>19160.07</v>
      </c>
      <c r="H199" s="137">
        <v>20702.41</v>
      </c>
      <c r="I199" s="138">
        <f t="shared" si="17"/>
        <v>190794.92</v>
      </c>
    </row>
    <row r="200" spans="1:9" s="24" customFormat="1" ht="12.75">
      <c r="A200" s="391"/>
      <c r="B200" s="471"/>
      <c r="C200" s="128" t="s">
        <v>1</v>
      </c>
      <c r="D200" s="69">
        <v>184013.8</v>
      </c>
      <c r="E200" s="69">
        <v>334796.55</v>
      </c>
      <c r="F200" s="69">
        <f>-805.08+100.13+894522.38</f>
        <v>893817.43</v>
      </c>
      <c r="G200" s="69">
        <v>501922.45</v>
      </c>
      <c r="H200" s="69">
        <v>354703.98</v>
      </c>
      <c r="I200" s="139">
        <f t="shared" si="17"/>
        <v>2269254.21</v>
      </c>
    </row>
    <row r="201" spans="1:9" s="24" customFormat="1" ht="12.75">
      <c r="A201" s="391"/>
      <c r="B201" s="471"/>
      <c r="C201" s="128" t="s">
        <v>2</v>
      </c>
      <c r="D201" s="69">
        <v>171588.54</v>
      </c>
      <c r="E201" s="69">
        <v>376582.95</v>
      </c>
      <c r="F201" s="69">
        <v>844706.92</v>
      </c>
      <c r="G201" s="69">
        <v>488845.03</v>
      </c>
      <c r="H201" s="69">
        <v>359320.72</v>
      </c>
      <c r="I201" s="139">
        <f t="shared" si="17"/>
        <v>2241044.16</v>
      </c>
    </row>
    <row r="202" spans="1:9" s="24" customFormat="1" ht="12.75">
      <c r="A202" s="391"/>
      <c r="B202" s="471"/>
      <c r="C202" s="128" t="s">
        <v>4</v>
      </c>
      <c r="D202" s="69">
        <f aca="true" t="shared" si="25" ref="D202:H203">+D200</f>
        <v>184013.8</v>
      </c>
      <c r="E202" s="69">
        <f t="shared" si="25"/>
        <v>334796.55</v>
      </c>
      <c r="F202" s="69">
        <f t="shared" si="25"/>
        <v>893817.43</v>
      </c>
      <c r="G202" s="69">
        <f t="shared" si="25"/>
        <v>501922.45</v>
      </c>
      <c r="H202" s="69">
        <f t="shared" si="25"/>
        <v>354703.98</v>
      </c>
      <c r="I202" s="139">
        <f t="shared" si="17"/>
        <v>2269254.21</v>
      </c>
    </row>
    <row r="203" spans="1:9" s="24" customFormat="1" ht="12.75">
      <c r="A203" s="391"/>
      <c r="B203" s="471"/>
      <c r="C203" s="128" t="s">
        <v>3</v>
      </c>
      <c r="D203" s="69">
        <f t="shared" si="25"/>
        <v>171588.54</v>
      </c>
      <c r="E203" s="69">
        <f>E202+E199</f>
        <v>398060.70999999996</v>
      </c>
      <c r="F203" s="69">
        <f t="shared" si="25"/>
        <v>844706.92</v>
      </c>
      <c r="G203" s="69">
        <f t="shared" si="25"/>
        <v>488845.03</v>
      </c>
      <c r="H203" s="69">
        <f t="shared" si="25"/>
        <v>359320.72</v>
      </c>
      <c r="I203" s="139">
        <f t="shared" si="17"/>
        <v>2262521.92</v>
      </c>
    </row>
    <row r="204" spans="1:9" s="3" customFormat="1" ht="13.5" thickBot="1">
      <c r="A204" s="392"/>
      <c r="B204" s="473"/>
      <c r="C204" s="140" t="s">
        <v>199</v>
      </c>
      <c r="D204" s="134">
        <f>D199+D200-D201</f>
        <v>38259.369999999966</v>
      </c>
      <c r="E204" s="134">
        <f>E199+E200-E201</f>
        <v>21477.75999999995</v>
      </c>
      <c r="F204" s="134">
        <f>F199+F200-F201</f>
        <v>110944.68000000005</v>
      </c>
      <c r="G204" s="134">
        <f>G199+G200-G201</f>
        <v>32237.48999999999</v>
      </c>
      <c r="H204" s="134">
        <f>H199+H200-H201</f>
        <v>16085.669999999984</v>
      </c>
      <c r="I204" s="146">
        <f t="shared" si="17"/>
        <v>219004.96999999994</v>
      </c>
    </row>
    <row r="205" spans="1:9" s="24" customFormat="1" ht="12.75">
      <c r="A205" s="393" t="s">
        <v>189</v>
      </c>
      <c r="B205" s="393"/>
      <c r="C205" s="376"/>
      <c r="D205" s="124"/>
      <c r="E205" s="124"/>
      <c r="F205" s="124"/>
      <c r="G205" s="124"/>
      <c r="H205" s="124"/>
      <c r="I205" s="152"/>
    </row>
    <row r="206" spans="1:9" s="24" customFormat="1" ht="12.75">
      <c r="A206" s="377"/>
      <c r="B206" s="377"/>
      <c r="C206" s="131" t="s">
        <v>175</v>
      </c>
      <c r="D206" s="116">
        <f aca="true" t="shared" si="26" ref="D206:I211">D103+D109+D115+D151+D157+D163+D169+D193+D199</f>
        <v>82694.04999999999</v>
      </c>
      <c r="E206" s="116">
        <f t="shared" si="26"/>
        <v>155123.52000000002</v>
      </c>
      <c r="F206" s="116">
        <f t="shared" si="26"/>
        <v>201914.69</v>
      </c>
      <c r="G206" s="116">
        <f t="shared" si="26"/>
        <v>69626.83</v>
      </c>
      <c r="H206" s="116">
        <f t="shared" si="26"/>
        <v>86351.69</v>
      </c>
      <c r="I206" s="116">
        <f t="shared" si="26"/>
        <v>595710.78</v>
      </c>
    </row>
    <row r="207" spans="1:9" s="24" customFormat="1" ht="12.75">
      <c r="A207" s="377"/>
      <c r="B207" s="377"/>
      <c r="C207" s="132" t="s">
        <v>1</v>
      </c>
      <c r="D207" s="116">
        <f t="shared" si="26"/>
        <v>540520.38</v>
      </c>
      <c r="E207" s="116">
        <f t="shared" si="26"/>
        <v>950134.51</v>
      </c>
      <c r="F207" s="116">
        <f t="shared" si="26"/>
        <v>2364257.1900000004</v>
      </c>
      <c r="G207" s="116">
        <f t="shared" si="26"/>
        <v>1340480.51</v>
      </c>
      <c r="H207" s="116">
        <f t="shared" si="26"/>
        <v>1205078.9900000002</v>
      </c>
      <c r="I207" s="116">
        <f t="shared" si="26"/>
        <v>6400471.58</v>
      </c>
    </row>
    <row r="208" spans="1:9" s="24" customFormat="1" ht="12.75">
      <c r="A208" s="377"/>
      <c r="B208" s="377"/>
      <c r="C208" s="132" t="s">
        <v>2</v>
      </c>
      <c r="D208" s="116">
        <f t="shared" si="26"/>
        <v>518751.45999999996</v>
      </c>
      <c r="E208" s="116">
        <f t="shared" si="26"/>
        <v>1030446.45</v>
      </c>
      <c r="F208" s="116">
        <f t="shared" si="26"/>
        <v>2246908.3</v>
      </c>
      <c r="G208" s="116">
        <f t="shared" si="26"/>
        <v>1304452.0299999998</v>
      </c>
      <c r="H208" s="116">
        <f t="shared" si="26"/>
        <v>1222870.6400000001</v>
      </c>
      <c r="I208" s="116">
        <f t="shared" si="26"/>
        <v>6323428.88</v>
      </c>
    </row>
    <row r="209" spans="1:9" s="24" customFormat="1" ht="12.75">
      <c r="A209" s="377"/>
      <c r="B209" s="377"/>
      <c r="C209" s="132" t="s">
        <v>4</v>
      </c>
      <c r="D209" s="116">
        <f t="shared" si="26"/>
        <v>558046.98</v>
      </c>
      <c r="E209" s="116">
        <f t="shared" si="26"/>
        <v>796851.6</v>
      </c>
      <c r="F209" s="116">
        <f t="shared" si="26"/>
        <v>1858690.5899999999</v>
      </c>
      <c r="G209" s="116">
        <f t="shared" si="26"/>
        <v>1607945.7599999998</v>
      </c>
      <c r="H209" s="116">
        <f t="shared" si="26"/>
        <v>1178150.76</v>
      </c>
      <c r="I209" s="116">
        <f t="shared" si="26"/>
        <v>5999685.6899999995</v>
      </c>
    </row>
    <row r="210" spans="1:9" s="24" customFormat="1" ht="12.75">
      <c r="A210" s="377"/>
      <c r="B210" s="377"/>
      <c r="C210" s="132" t="s">
        <v>3</v>
      </c>
      <c r="D210" s="116">
        <f t="shared" si="26"/>
        <v>518751.45999999996</v>
      </c>
      <c r="E210" s="116">
        <f t="shared" si="26"/>
        <v>950484.02</v>
      </c>
      <c r="F210" s="116">
        <f t="shared" si="26"/>
        <v>1946425.23</v>
      </c>
      <c r="G210" s="116">
        <f t="shared" si="26"/>
        <v>1304452.0299999998</v>
      </c>
      <c r="H210" s="116">
        <f t="shared" si="26"/>
        <v>1222870.6400000001</v>
      </c>
      <c r="I210" s="116">
        <f t="shared" si="26"/>
        <v>5942983.380000001</v>
      </c>
    </row>
    <row r="211" spans="1:9" s="3" customFormat="1" ht="13.5" thickBot="1">
      <c r="A211" s="378"/>
      <c r="B211" s="378"/>
      <c r="C211" s="148" t="s">
        <v>199</v>
      </c>
      <c r="D211" s="126">
        <f t="shared" si="26"/>
        <v>104462.96999999999</v>
      </c>
      <c r="E211" s="126">
        <f t="shared" si="26"/>
        <v>74811.57999999994</v>
      </c>
      <c r="F211" s="126">
        <f t="shared" si="26"/>
        <v>319263.5800000001</v>
      </c>
      <c r="G211" s="126">
        <f t="shared" si="26"/>
        <v>105655.31000000003</v>
      </c>
      <c r="H211" s="126">
        <f t="shared" si="26"/>
        <v>68560.03999999998</v>
      </c>
      <c r="I211" s="126">
        <f t="shared" si="26"/>
        <v>672753.4800000001</v>
      </c>
    </row>
    <row r="212" spans="1:9" s="24" customFormat="1" ht="12.75" customHeight="1">
      <c r="A212" s="390" t="s">
        <v>110</v>
      </c>
      <c r="B212" s="470" t="s">
        <v>24</v>
      </c>
      <c r="C212" s="135" t="s">
        <v>175</v>
      </c>
      <c r="D212" s="137">
        <f>-174.4+250.02</f>
        <v>75.62</v>
      </c>
      <c r="E212" s="137">
        <f>-96.15+2371.69</f>
        <v>2275.54</v>
      </c>
      <c r="F212" s="137">
        <f>-63.54+2639.67</f>
        <v>2576.13</v>
      </c>
      <c r="G212" s="137">
        <f>-41.86-387.27</f>
        <v>-429.13</v>
      </c>
      <c r="H212" s="137">
        <f>-41.48+1071.39</f>
        <v>1029.91</v>
      </c>
      <c r="I212" s="138">
        <f t="shared" si="17"/>
        <v>5528.07</v>
      </c>
    </row>
    <row r="213" spans="1:9" s="24" customFormat="1" ht="12.75">
      <c r="A213" s="391"/>
      <c r="B213" s="471"/>
      <c r="C213" s="128" t="s">
        <v>1</v>
      </c>
      <c r="D213" s="69">
        <f>174.4+8640</f>
        <v>8814.4</v>
      </c>
      <c r="E213" s="69">
        <f>96.15+16267.6</f>
        <v>16363.75</v>
      </c>
      <c r="F213" s="69">
        <f>63.54+33615</f>
        <v>33678.54</v>
      </c>
      <c r="G213" s="69">
        <f>41.86+16110</f>
        <v>16151.86</v>
      </c>
      <c r="H213" s="69">
        <f>41.48+16830</f>
        <v>16871.48</v>
      </c>
      <c r="I213" s="139">
        <f t="shared" si="17"/>
        <v>91880.03</v>
      </c>
    </row>
    <row r="214" spans="1:9" s="24" customFormat="1" ht="12.75">
      <c r="A214" s="391"/>
      <c r="B214" s="471"/>
      <c r="C214" s="128" t="s">
        <v>2</v>
      </c>
      <c r="D214" s="69">
        <v>7853.54</v>
      </c>
      <c r="E214" s="69">
        <v>17115.3</v>
      </c>
      <c r="F214" s="69">
        <v>32925.84</v>
      </c>
      <c r="G214" s="69">
        <v>14857.27</v>
      </c>
      <c r="H214" s="69">
        <v>17034.19</v>
      </c>
      <c r="I214" s="139">
        <f t="shared" si="17"/>
        <v>89786.14</v>
      </c>
    </row>
    <row r="215" spans="1:9" s="24" customFormat="1" ht="12.75">
      <c r="A215" s="391"/>
      <c r="B215" s="471"/>
      <c r="C215" s="128" t="s">
        <v>4</v>
      </c>
      <c r="D215" s="69">
        <f aca="true" t="shared" si="27" ref="D215:H216">+D213</f>
        <v>8814.4</v>
      </c>
      <c r="E215" s="69">
        <f t="shared" si="27"/>
        <v>16363.75</v>
      </c>
      <c r="F215" s="69">
        <f t="shared" si="27"/>
        <v>33678.54</v>
      </c>
      <c r="G215" s="69">
        <f t="shared" si="27"/>
        <v>16151.86</v>
      </c>
      <c r="H215" s="69">
        <f t="shared" si="27"/>
        <v>16871.48</v>
      </c>
      <c r="I215" s="139">
        <f t="shared" si="17"/>
        <v>91880.03</v>
      </c>
    </row>
    <row r="216" spans="1:9" s="24" customFormat="1" ht="12.75">
      <c r="A216" s="391"/>
      <c r="B216" s="471"/>
      <c r="C216" s="128" t="s">
        <v>3</v>
      </c>
      <c r="D216" s="69">
        <f t="shared" si="27"/>
        <v>7853.54</v>
      </c>
      <c r="E216" s="69">
        <f t="shared" si="27"/>
        <v>17115.3</v>
      </c>
      <c r="F216" s="69">
        <f t="shared" si="27"/>
        <v>32925.84</v>
      </c>
      <c r="G216" s="69">
        <f t="shared" si="27"/>
        <v>14857.27</v>
      </c>
      <c r="H216" s="69">
        <f t="shared" si="27"/>
        <v>17034.19</v>
      </c>
      <c r="I216" s="139">
        <f t="shared" si="17"/>
        <v>89786.14</v>
      </c>
    </row>
    <row r="217" spans="1:9" s="3" customFormat="1" ht="13.5" thickBot="1">
      <c r="A217" s="391"/>
      <c r="B217" s="472"/>
      <c r="C217" s="140" t="s">
        <v>199</v>
      </c>
      <c r="D217" s="70">
        <f>D212+D213-D214</f>
        <v>1036.4800000000005</v>
      </c>
      <c r="E217" s="70">
        <f>E212+E213-E214</f>
        <v>1523.9900000000016</v>
      </c>
      <c r="F217" s="70">
        <f>F212+F213-F214</f>
        <v>3328.8300000000017</v>
      </c>
      <c r="G217" s="70">
        <f>G212+G213-G214</f>
        <v>865.460000000001</v>
      </c>
      <c r="H217" s="70">
        <f>H212+H213-H214</f>
        <v>867.2000000000007</v>
      </c>
      <c r="I217" s="141">
        <f t="shared" si="17"/>
        <v>7621.9600000000055</v>
      </c>
    </row>
    <row r="218" spans="1:9" s="3" customFormat="1" ht="12.75" customHeight="1" hidden="1">
      <c r="A218" s="391" t="s">
        <v>105</v>
      </c>
      <c r="B218" s="470" t="s">
        <v>104</v>
      </c>
      <c r="C218" s="136" t="s">
        <v>156</v>
      </c>
      <c r="D218" s="137"/>
      <c r="E218" s="137"/>
      <c r="F218" s="137"/>
      <c r="G218" s="137"/>
      <c r="H218" s="137"/>
      <c r="I218" s="138">
        <f t="shared" si="17"/>
        <v>0</v>
      </c>
    </row>
    <row r="219" spans="1:9" s="3" customFormat="1" ht="12.75" customHeight="1" hidden="1">
      <c r="A219" s="391"/>
      <c r="B219" s="471"/>
      <c r="C219" s="128" t="s">
        <v>1</v>
      </c>
      <c r="D219" s="69"/>
      <c r="E219" s="69"/>
      <c r="F219" s="69"/>
      <c r="G219" s="69"/>
      <c r="H219" s="69"/>
      <c r="I219" s="139">
        <f t="shared" si="17"/>
        <v>0</v>
      </c>
    </row>
    <row r="220" spans="1:9" s="3" customFormat="1" ht="12.75" customHeight="1" hidden="1">
      <c r="A220" s="391"/>
      <c r="B220" s="471"/>
      <c r="C220" s="128" t="s">
        <v>2</v>
      </c>
      <c r="D220" s="69"/>
      <c r="E220" s="69"/>
      <c r="F220" s="69"/>
      <c r="G220" s="69"/>
      <c r="H220" s="69"/>
      <c r="I220" s="139">
        <f t="shared" si="17"/>
        <v>0</v>
      </c>
    </row>
    <row r="221" spans="1:9" s="3" customFormat="1" ht="12.75" customHeight="1" hidden="1">
      <c r="A221" s="391"/>
      <c r="B221" s="471"/>
      <c r="C221" s="128" t="s">
        <v>4</v>
      </c>
      <c r="D221" s="69"/>
      <c r="E221" s="69"/>
      <c r="F221" s="69"/>
      <c r="G221" s="69"/>
      <c r="H221" s="69"/>
      <c r="I221" s="139">
        <f t="shared" si="17"/>
        <v>0</v>
      </c>
    </row>
    <row r="222" spans="1:9" s="3" customFormat="1" ht="12.75" customHeight="1" hidden="1">
      <c r="A222" s="391"/>
      <c r="B222" s="471"/>
      <c r="C222" s="128" t="s">
        <v>3</v>
      </c>
      <c r="D222" s="130"/>
      <c r="E222" s="130"/>
      <c r="F222" s="69"/>
      <c r="G222" s="69"/>
      <c r="H222" s="69"/>
      <c r="I222" s="139">
        <f t="shared" si="17"/>
        <v>0</v>
      </c>
    </row>
    <row r="223" spans="1:9" s="3" customFormat="1" ht="13.5" customHeight="1" hidden="1" thickBot="1">
      <c r="A223" s="391"/>
      <c r="B223" s="472"/>
      <c r="C223" s="140" t="s">
        <v>160</v>
      </c>
      <c r="D223" s="70">
        <f>D218+D219-D220</f>
        <v>0</v>
      </c>
      <c r="E223" s="70">
        <f>E218+E219-E220</f>
        <v>0</v>
      </c>
      <c r="F223" s="70">
        <f>F218+F219-F220</f>
        <v>0</v>
      </c>
      <c r="G223" s="70">
        <f>G218+G219-G220</f>
        <v>0</v>
      </c>
      <c r="H223" s="70">
        <f>H218+H219-H220</f>
        <v>0</v>
      </c>
      <c r="I223" s="141">
        <f t="shared" si="17"/>
        <v>0</v>
      </c>
    </row>
    <row r="224" spans="1:9" s="24" customFormat="1" ht="12.75">
      <c r="A224" s="391" t="s">
        <v>49</v>
      </c>
      <c r="B224" s="470" t="s">
        <v>27</v>
      </c>
      <c r="C224" s="135" t="s">
        <v>175</v>
      </c>
      <c r="D224" s="137">
        <v>-14.36</v>
      </c>
      <c r="E224" s="137">
        <v>8381.14</v>
      </c>
      <c r="F224" s="137">
        <v>7386.9</v>
      </c>
      <c r="G224" s="137">
        <v>2718.18</v>
      </c>
      <c r="H224" s="137">
        <v>3268.24</v>
      </c>
      <c r="I224" s="138">
        <f aca="true" t="shared" si="28" ref="I224:I229">SUM(D224:H224)</f>
        <v>21740.1</v>
      </c>
    </row>
    <row r="225" spans="1:9" s="24" customFormat="1" ht="12.75">
      <c r="A225" s="391"/>
      <c r="B225" s="471"/>
      <c r="C225" s="128" t="s">
        <v>1</v>
      </c>
      <c r="D225" s="69">
        <v>8640</v>
      </c>
      <c r="E225" s="69">
        <v>39600</v>
      </c>
      <c r="F225" s="69">
        <v>78480</v>
      </c>
      <c r="G225" s="69">
        <v>43920</v>
      </c>
      <c r="H225" s="69">
        <v>45360</v>
      </c>
      <c r="I225" s="139">
        <f t="shared" si="28"/>
        <v>216000</v>
      </c>
    </row>
    <row r="226" spans="1:9" s="24" customFormat="1" ht="12.75">
      <c r="A226" s="391"/>
      <c r="B226" s="471"/>
      <c r="C226" s="128" t="s">
        <v>2</v>
      </c>
      <c r="D226" s="69">
        <v>8147.06</v>
      </c>
      <c r="E226" s="69">
        <v>41708.34</v>
      </c>
      <c r="F226" s="69">
        <v>74292.19</v>
      </c>
      <c r="G226" s="69">
        <v>42803.46</v>
      </c>
      <c r="H226" s="69">
        <v>45861.77</v>
      </c>
      <c r="I226" s="139">
        <f t="shared" si="28"/>
        <v>212812.81999999998</v>
      </c>
    </row>
    <row r="227" spans="1:9" s="24" customFormat="1" ht="12.75">
      <c r="A227" s="391"/>
      <c r="B227" s="471"/>
      <c r="C227" s="128" t="s">
        <v>4</v>
      </c>
      <c r="D227" s="69">
        <f aca="true" t="shared" si="29" ref="D227:H228">+D225</f>
        <v>8640</v>
      </c>
      <c r="E227" s="69">
        <f t="shared" si="29"/>
        <v>39600</v>
      </c>
      <c r="F227" s="69">
        <f t="shared" si="29"/>
        <v>78480</v>
      </c>
      <c r="G227" s="69">
        <f t="shared" si="29"/>
        <v>43920</v>
      </c>
      <c r="H227" s="69">
        <f t="shared" si="29"/>
        <v>45360</v>
      </c>
      <c r="I227" s="139">
        <f t="shared" si="28"/>
        <v>216000</v>
      </c>
    </row>
    <row r="228" spans="1:9" s="24" customFormat="1" ht="12.75">
      <c r="A228" s="391"/>
      <c r="B228" s="471"/>
      <c r="C228" s="128" t="s">
        <v>3</v>
      </c>
      <c r="D228" s="69">
        <f t="shared" si="29"/>
        <v>8147.06</v>
      </c>
      <c r="E228" s="69">
        <f t="shared" si="29"/>
        <v>41708.34</v>
      </c>
      <c r="F228" s="69">
        <f t="shared" si="29"/>
        <v>74292.19</v>
      </c>
      <c r="G228" s="69">
        <f t="shared" si="29"/>
        <v>42803.46</v>
      </c>
      <c r="H228" s="69">
        <f t="shared" si="29"/>
        <v>45861.77</v>
      </c>
      <c r="I228" s="139">
        <f t="shared" si="28"/>
        <v>212812.81999999998</v>
      </c>
    </row>
    <row r="229" spans="1:9" s="3" customFormat="1" ht="13.5" thickBot="1">
      <c r="A229" s="391"/>
      <c r="B229" s="472"/>
      <c r="C229" s="140" t="s">
        <v>199</v>
      </c>
      <c r="D229" s="70">
        <f>D224+D225-D226</f>
        <v>478.579999999999</v>
      </c>
      <c r="E229" s="70">
        <f>E224+E225-E226</f>
        <v>6272.800000000003</v>
      </c>
      <c r="F229" s="70">
        <f>F224+F225-F226</f>
        <v>11574.709999999992</v>
      </c>
      <c r="G229" s="70">
        <f>G224+G225-G226</f>
        <v>3834.720000000001</v>
      </c>
      <c r="H229" s="70">
        <f>H224+H225-H226</f>
        <v>2766.470000000001</v>
      </c>
      <c r="I229" s="141">
        <f t="shared" si="28"/>
        <v>24927.279999999995</v>
      </c>
    </row>
    <row r="230" spans="1:9" s="24" customFormat="1" ht="12.75">
      <c r="A230" s="391" t="s">
        <v>37</v>
      </c>
      <c r="B230" s="470" t="s">
        <v>27</v>
      </c>
      <c r="C230" s="135" t="s">
        <v>175</v>
      </c>
      <c r="D230" s="153"/>
      <c r="E230" s="153"/>
      <c r="F230" s="137">
        <v>739.15</v>
      </c>
      <c r="G230" s="153"/>
      <c r="H230" s="153"/>
      <c r="I230" s="138">
        <f t="shared" si="17"/>
        <v>739.15</v>
      </c>
    </row>
    <row r="231" spans="1:9" s="24" customFormat="1" ht="12.75">
      <c r="A231" s="391"/>
      <c r="B231" s="471"/>
      <c r="C231" s="128" t="s">
        <v>1</v>
      </c>
      <c r="D231" s="133"/>
      <c r="E231" s="133"/>
      <c r="F231" s="69">
        <v>10080</v>
      </c>
      <c r="G231" s="133"/>
      <c r="H231" s="133"/>
      <c r="I231" s="139">
        <f t="shared" si="17"/>
        <v>10080</v>
      </c>
    </row>
    <row r="232" spans="1:9" s="24" customFormat="1" ht="12.75">
      <c r="A232" s="391"/>
      <c r="B232" s="471"/>
      <c r="C232" s="128" t="s">
        <v>2</v>
      </c>
      <c r="D232" s="133"/>
      <c r="E232" s="133"/>
      <c r="F232" s="69">
        <v>10025.01</v>
      </c>
      <c r="G232" s="133"/>
      <c r="H232" s="133"/>
      <c r="I232" s="139">
        <f t="shared" si="17"/>
        <v>10025.01</v>
      </c>
    </row>
    <row r="233" spans="1:9" s="24" customFormat="1" ht="12.75">
      <c r="A233" s="391"/>
      <c r="B233" s="471"/>
      <c r="C233" s="128" t="s">
        <v>4</v>
      </c>
      <c r="D233" s="69"/>
      <c r="E233" s="69"/>
      <c r="F233" s="69">
        <f>+F231</f>
        <v>10080</v>
      </c>
      <c r="G233" s="69"/>
      <c r="H233" s="69"/>
      <c r="I233" s="139">
        <f t="shared" si="17"/>
        <v>10080</v>
      </c>
    </row>
    <row r="234" spans="1:9" s="24" customFormat="1" ht="12.75">
      <c r="A234" s="391"/>
      <c r="B234" s="471"/>
      <c r="C234" s="128" t="s">
        <v>3</v>
      </c>
      <c r="D234" s="69"/>
      <c r="E234" s="69"/>
      <c r="F234" s="69">
        <f>+F232</f>
        <v>10025.01</v>
      </c>
      <c r="G234" s="69"/>
      <c r="H234" s="69"/>
      <c r="I234" s="139">
        <f t="shared" si="17"/>
        <v>10025.01</v>
      </c>
    </row>
    <row r="235" spans="1:9" s="3" customFormat="1" ht="13.5" thickBot="1">
      <c r="A235" s="392"/>
      <c r="B235" s="473"/>
      <c r="C235" s="140" t="s">
        <v>199</v>
      </c>
      <c r="D235" s="134"/>
      <c r="E235" s="134"/>
      <c r="F235" s="134">
        <f>F230+F231-F232</f>
        <v>794.1399999999994</v>
      </c>
      <c r="G235" s="134"/>
      <c r="H235" s="134"/>
      <c r="I235" s="146">
        <f t="shared" si="17"/>
        <v>794.1399999999994</v>
      </c>
    </row>
    <row r="236" spans="1:9" s="24" customFormat="1" ht="12.75">
      <c r="A236" s="393" t="s">
        <v>190</v>
      </c>
      <c r="B236" s="393"/>
      <c r="C236" s="376"/>
      <c r="D236" s="124"/>
      <c r="E236" s="124"/>
      <c r="F236" s="124"/>
      <c r="G236" s="124"/>
      <c r="H236" s="124"/>
      <c r="I236" s="147"/>
    </row>
    <row r="237" spans="1:9" s="24" customFormat="1" ht="12.75">
      <c r="A237" s="377"/>
      <c r="B237" s="377"/>
      <c r="C237" s="131" t="s">
        <v>175</v>
      </c>
      <c r="D237" s="116">
        <f aca="true" t="shared" si="30" ref="D237:I242">D212+D218+D224+D230</f>
        <v>61.260000000000005</v>
      </c>
      <c r="E237" s="116">
        <f t="shared" si="30"/>
        <v>10656.68</v>
      </c>
      <c r="F237" s="116">
        <f t="shared" si="30"/>
        <v>10702.179999999998</v>
      </c>
      <c r="G237" s="116">
        <f t="shared" si="30"/>
        <v>2289.0499999999997</v>
      </c>
      <c r="H237" s="116">
        <f t="shared" si="30"/>
        <v>4298.15</v>
      </c>
      <c r="I237" s="116">
        <f t="shared" si="30"/>
        <v>28007.32</v>
      </c>
    </row>
    <row r="238" spans="1:9" s="24" customFormat="1" ht="12.75">
      <c r="A238" s="377"/>
      <c r="B238" s="377"/>
      <c r="C238" s="132" t="s">
        <v>1</v>
      </c>
      <c r="D238" s="116">
        <f t="shared" si="30"/>
        <v>17454.4</v>
      </c>
      <c r="E238" s="116">
        <f t="shared" si="30"/>
        <v>55963.75</v>
      </c>
      <c r="F238" s="116">
        <f t="shared" si="30"/>
        <v>122238.54000000001</v>
      </c>
      <c r="G238" s="116">
        <f t="shared" si="30"/>
        <v>60071.86</v>
      </c>
      <c r="H238" s="116">
        <f t="shared" si="30"/>
        <v>62231.479999999996</v>
      </c>
      <c r="I238" s="116">
        <f t="shared" si="30"/>
        <v>317960.03</v>
      </c>
    </row>
    <row r="239" spans="1:11" s="24" customFormat="1" ht="12.75">
      <c r="A239" s="377"/>
      <c r="B239" s="377"/>
      <c r="C239" s="132" t="s">
        <v>2</v>
      </c>
      <c r="D239" s="116">
        <f t="shared" si="30"/>
        <v>16000.6</v>
      </c>
      <c r="E239" s="116">
        <f t="shared" si="30"/>
        <v>58823.64</v>
      </c>
      <c r="F239" s="116">
        <f t="shared" si="30"/>
        <v>117243.04</v>
      </c>
      <c r="G239" s="116">
        <f t="shared" si="30"/>
        <v>57660.729999999996</v>
      </c>
      <c r="H239" s="116">
        <f t="shared" si="30"/>
        <v>62895.95999999999</v>
      </c>
      <c r="I239" s="116">
        <f t="shared" si="30"/>
        <v>312623.97</v>
      </c>
      <c r="K239" s="28"/>
    </row>
    <row r="240" spans="1:9" s="24" customFormat="1" ht="12.75">
      <c r="A240" s="377"/>
      <c r="B240" s="377"/>
      <c r="C240" s="132" t="s">
        <v>4</v>
      </c>
      <c r="D240" s="116">
        <f t="shared" si="30"/>
        <v>17454.4</v>
      </c>
      <c r="E240" s="116">
        <f t="shared" si="30"/>
        <v>55963.75</v>
      </c>
      <c r="F240" s="116">
        <f t="shared" si="30"/>
        <v>122238.54000000001</v>
      </c>
      <c r="G240" s="116">
        <f t="shared" si="30"/>
        <v>60071.86</v>
      </c>
      <c r="H240" s="116">
        <f t="shared" si="30"/>
        <v>62231.479999999996</v>
      </c>
      <c r="I240" s="116">
        <f t="shared" si="30"/>
        <v>317960.03</v>
      </c>
    </row>
    <row r="241" spans="1:9" s="24" customFormat="1" ht="12.75">
      <c r="A241" s="377"/>
      <c r="B241" s="377"/>
      <c r="C241" s="132" t="s">
        <v>3</v>
      </c>
      <c r="D241" s="116">
        <f t="shared" si="30"/>
        <v>16000.6</v>
      </c>
      <c r="E241" s="116">
        <f t="shared" si="30"/>
        <v>58823.64</v>
      </c>
      <c r="F241" s="116">
        <f t="shared" si="30"/>
        <v>117243.04</v>
      </c>
      <c r="G241" s="116">
        <f t="shared" si="30"/>
        <v>57660.729999999996</v>
      </c>
      <c r="H241" s="116">
        <f t="shared" si="30"/>
        <v>62895.95999999999</v>
      </c>
      <c r="I241" s="116">
        <f t="shared" si="30"/>
        <v>312623.97</v>
      </c>
    </row>
    <row r="242" spans="1:9" s="3" customFormat="1" ht="13.5" thickBot="1">
      <c r="A242" s="378"/>
      <c r="B242" s="378"/>
      <c r="C242" s="148" t="s">
        <v>199</v>
      </c>
      <c r="D242" s="126">
        <f t="shared" si="30"/>
        <v>1515.0599999999995</v>
      </c>
      <c r="E242" s="126">
        <f t="shared" si="30"/>
        <v>7796.7900000000045</v>
      </c>
      <c r="F242" s="126">
        <f t="shared" si="30"/>
        <v>15697.679999999993</v>
      </c>
      <c r="G242" s="126">
        <f t="shared" si="30"/>
        <v>4700.180000000002</v>
      </c>
      <c r="H242" s="126">
        <f t="shared" si="30"/>
        <v>3633.670000000002</v>
      </c>
      <c r="I242" s="126">
        <f t="shared" si="30"/>
        <v>33343.380000000005</v>
      </c>
    </row>
    <row r="243" spans="1:9" s="24" customFormat="1" ht="12.75">
      <c r="A243" s="393" t="s">
        <v>192</v>
      </c>
      <c r="B243" s="393"/>
      <c r="C243" s="376"/>
      <c r="D243" s="124"/>
      <c r="E243" s="124"/>
      <c r="F243" s="124"/>
      <c r="G243" s="124"/>
      <c r="H243" s="124"/>
      <c r="I243" s="147"/>
    </row>
    <row r="244" spans="1:9" s="24" customFormat="1" ht="12.75">
      <c r="A244" s="377"/>
      <c r="B244" s="377"/>
      <c r="C244" s="131" t="s">
        <v>175</v>
      </c>
      <c r="D244" s="116">
        <f aca="true" t="shared" si="31" ref="D244:I249">D97+D206+D237</f>
        <v>253383.59999999998</v>
      </c>
      <c r="E244" s="116">
        <f t="shared" si="31"/>
        <v>581273.41</v>
      </c>
      <c r="F244" s="116">
        <f t="shared" si="31"/>
        <v>817171.87</v>
      </c>
      <c r="G244" s="116">
        <f t="shared" si="31"/>
        <v>355264.8400000001</v>
      </c>
      <c r="H244" s="116">
        <f t="shared" si="31"/>
        <v>299955.3300000001</v>
      </c>
      <c r="I244" s="116">
        <f t="shared" si="31"/>
        <v>2307049.05</v>
      </c>
    </row>
    <row r="245" spans="1:9" s="24" customFormat="1" ht="12.75">
      <c r="A245" s="377"/>
      <c r="B245" s="377"/>
      <c r="C245" s="132" t="s">
        <v>1</v>
      </c>
      <c r="D245" s="116">
        <f t="shared" si="31"/>
        <v>2108003.3800000004</v>
      </c>
      <c r="E245" s="116">
        <f t="shared" si="31"/>
        <v>3691591.08</v>
      </c>
      <c r="F245" s="116">
        <f t="shared" si="31"/>
        <v>8362874.429999999</v>
      </c>
      <c r="G245" s="116">
        <f t="shared" si="31"/>
        <v>4448831.390000001</v>
      </c>
      <c r="H245" s="116">
        <f t="shared" si="31"/>
        <v>4321482.300000001</v>
      </c>
      <c r="I245" s="116">
        <f t="shared" si="31"/>
        <v>22932782.580000002</v>
      </c>
    </row>
    <row r="246" spans="1:9" s="24" customFormat="1" ht="12.75">
      <c r="A246" s="377"/>
      <c r="B246" s="377"/>
      <c r="C246" s="132" t="s">
        <v>2</v>
      </c>
      <c r="D246" s="116">
        <f t="shared" si="31"/>
        <v>1908658.5500000003</v>
      </c>
      <c r="E246" s="116">
        <f t="shared" si="31"/>
        <v>3882459.0100000002</v>
      </c>
      <c r="F246" s="116">
        <f t="shared" si="31"/>
        <v>7729594.56</v>
      </c>
      <c r="G246" s="116">
        <f t="shared" si="31"/>
        <v>4597654.800000001</v>
      </c>
      <c r="H246" s="116">
        <f t="shared" si="31"/>
        <v>4392334.099999999</v>
      </c>
      <c r="I246" s="116">
        <f t="shared" si="31"/>
        <v>22510701.019999996</v>
      </c>
    </row>
    <row r="247" spans="1:9" s="24" customFormat="1" ht="12.75">
      <c r="A247" s="377"/>
      <c r="B247" s="377"/>
      <c r="C247" s="132" t="s">
        <v>4</v>
      </c>
      <c r="D247" s="116">
        <f t="shared" si="31"/>
        <v>2125529.98</v>
      </c>
      <c r="E247" s="116">
        <f t="shared" si="31"/>
        <v>3538308.1700000004</v>
      </c>
      <c r="F247" s="116">
        <f t="shared" si="31"/>
        <v>7857307.829999998</v>
      </c>
      <c r="G247" s="116">
        <f t="shared" si="31"/>
        <v>4716296.640000001</v>
      </c>
      <c r="H247" s="116">
        <f t="shared" si="31"/>
        <v>4294554.07</v>
      </c>
      <c r="I247" s="116">
        <f t="shared" si="31"/>
        <v>22531996.69</v>
      </c>
    </row>
    <row r="248" spans="1:9" s="24" customFormat="1" ht="12.75">
      <c r="A248" s="377"/>
      <c r="B248" s="377"/>
      <c r="C248" s="132" t="s">
        <v>3</v>
      </c>
      <c r="D248" s="116">
        <f t="shared" si="31"/>
        <v>1908658.5500000003</v>
      </c>
      <c r="E248" s="116">
        <f t="shared" si="31"/>
        <v>3882459.0100000002</v>
      </c>
      <c r="F248" s="116">
        <f t="shared" si="31"/>
        <v>7729594.56</v>
      </c>
      <c r="G248" s="116">
        <f t="shared" si="31"/>
        <v>4597654.800000001</v>
      </c>
      <c r="H248" s="116">
        <f t="shared" si="31"/>
        <v>4392334.099999999</v>
      </c>
      <c r="I248" s="116">
        <f t="shared" si="31"/>
        <v>22510701.019999996</v>
      </c>
    </row>
    <row r="249" spans="1:9" s="3" customFormat="1" ht="13.5" thickBot="1">
      <c r="A249" s="378"/>
      <c r="B249" s="378"/>
      <c r="C249" s="148" t="s">
        <v>199</v>
      </c>
      <c r="D249" s="126">
        <f t="shared" si="31"/>
        <v>452728.43</v>
      </c>
      <c r="E249" s="126">
        <f t="shared" si="31"/>
        <v>390405.47999999975</v>
      </c>
      <c r="F249" s="126">
        <f t="shared" si="31"/>
        <v>1450451.7400000002</v>
      </c>
      <c r="G249" s="126">
        <f t="shared" si="31"/>
        <v>206441.4299999998</v>
      </c>
      <c r="H249" s="126">
        <f t="shared" si="31"/>
        <v>229103.53000000017</v>
      </c>
      <c r="I249" s="126">
        <f t="shared" si="31"/>
        <v>2729130.61</v>
      </c>
    </row>
  </sheetData>
  <sheetProtection/>
  <mergeCells count="66">
    <mergeCell ref="B1:I1"/>
    <mergeCell ref="A2:I2"/>
    <mergeCell ref="B84:B89"/>
    <mergeCell ref="A103:A138"/>
    <mergeCell ref="I3:I4"/>
    <mergeCell ref="B48:B53"/>
    <mergeCell ref="A3:B5"/>
    <mergeCell ref="B12:B17"/>
    <mergeCell ref="A24:A41"/>
    <mergeCell ref="A42:A47"/>
    <mergeCell ref="B103:B108"/>
    <mergeCell ref="B54:B59"/>
    <mergeCell ref="B60:B65"/>
    <mergeCell ref="A97:B102"/>
    <mergeCell ref="A72:A95"/>
    <mergeCell ref="A48:A59"/>
    <mergeCell ref="B90:B95"/>
    <mergeCell ref="B72:B77"/>
    <mergeCell ref="A96:C96"/>
    <mergeCell ref="B66:B71"/>
    <mergeCell ref="A151:A168"/>
    <mergeCell ref="A139:A144"/>
    <mergeCell ref="B115:B120"/>
    <mergeCell ref="B151:B156"/>
    <mergeCell ref="A145:A150"/>
    <mergeCell ref="B145:B150"/>
    <mergeCell ref="B133:B138"/>
    <mergeCell ref="B218:B223"/>
    <mergeCell ref="B169:B174"/>
    <mergeCell ref="B121:B126"/>
    <mergeCell ref="B127:B132"/>
    <mergeCell ref="B181:B186"/>
    <mergeCell ref="B157:B162"/>
    <mergeCell ref="B163:B168"/>
    <mergeCell ref="B187:B192"/>
    <mergeCell ref="B175:B180"/>
    <mergeCell ref="D3:H3"/>
    <mergeCell ref="B42:B47"/>
    <mergeCell ref="C3:C4"/>
    <mergeCell ref="B6:B11"/>
    <mergeCell ref="B109:B114"/>
    <mergeCell ref="B18:B23"/>
    <mergeCell ref="A230:A235"/>
    <mergeCell ref="B193:B198"/>
    <mergeCell ref="B199:B204"/>
    <mergeCell ref="B212:B217"/>
    <mergeCell ref="A212:A217"/>
    <mergeCell ref="A205:C205"/>
    <mergeCell ref="B230:B235"/>
    <mergeCell ref="A169:A198"/>
    <mergeCell ref="A244:B249"/>
    <mergeCell ref="A224:A229"/>
    <mergeCell ref="B224:B229"/>
    <mergeCell ref="B139:B144"/>
    <mergeCell ref="A206:B211"/>
    <mergeCell ref="A199:A204"/>
    <mergeCell ref="A243:C243"/>
    <mergeCell ref="A237:B242"/>
    <mergeCell ref="A236:C236"/>
    <mergeCell ref="A218:A223"/>
    <mergeCell ref="A60:A71"/>
    <mergeCell ref="B78:B83"/>
    <mergeCell ref="A6:A23"/>
    <mergeCell ref="B36:B41"/>
    <mergeCell ref="B24:B29"/>
    <mergeCell ref="B30:B35"/>
  </mergeCells>
  <printOptions/>
  <pageMargins left="0.4724409448818898" right="0.1968503937007874" top="0.15748031496062992" bottom="0.1968503937007874" header="0" footer="0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pane xSplit="3" ySplit="5" topLeftCell="D1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56" sqref="H156:H157"/>
    </sheetView>
  </sheetViews>
  <sheetFormatPr defaultColWidth="9.00390625" defaultRowHeight="12.75"/>
  <cols>
    <col min="1" max="1" width="6.625" style="7" customWidth="1"/>
    <col min="2" max="2" width="8.875" style="7" customWidth="1"/>
    <col min="3" max="3" width="22.875" style="27" customWidth="1"/>
    <col min="4" max="4" width="12.125" style="27" customWidth="1"/>
    <col min="5" max="5" width="12.75390625" style="27" customWidth="1"/>
    <col min="6" max="6" width="13.25390625" style="27" customWidth="1"/>
    <col min="7" max="7" width="12.00390625" style="4" customWidth="1"/>
    <col min="8" max="16384" width="9.125" style="27" customWidth="1"/>
  </cols>
  <sheetData>
    <row r="1" spans="1:7" s="10" customFormat="1" ht="15.75">
      <c r="A1" s="425" t="s">
        <v>198</v>
      </c>
      <c r="B1" s="425"/>
      <c r="C1" s="425"/>
      <c r="D1" s="425"/>
      <c r="E1" s="425"/>
      <c r="F1" s="425"/>
      <c r="G1" s="425"/>
    </row>
    <row r="2" spans="1:7" s="10" customFormat="1" ht="16.5" thickBot="1">
      <c r="A2" s="424"/>
      <c r="B2" s="424"/>
      <c r="C2" s="424"/>
      <c r="D2" s="424"/>
      <c r="E2" s="424"/>
      <c r="F2" s="424"/>
      <c r="G2" s="424"/>
    </row>
    <row r="3" spans="1:7" s="24" customFormat="1" ht="12.75" customHeight="1" thickBot="1">
      <c r="A3" s="443" t="s">
        <v>191</v>
      </c>
      <c r="B3" s="443"/>
      <c r="C3" s="413" t="s">
        <v>184</v>
      </c>
      <c r="D3" s="461" t="s">
        <v>0</v>
      </c>
      <c r="E3" s="461"/>
      <c r="F3" s="461"/>
      <c r="G3" s="459" t="s">
        <v>48</v>
      </c>
    </row>
    <row r="4" spans="1:7" s="25" customFormat="1" ht="41.25" customHeight="1" thickBot="1">
      <c r="A4" s="443"/>
      <c r="B4" s="443"/>
      <c r="C4" s="414"/>
      <c r="D4" s="328" t="s">
        <v>67</v>
      </c>
      <c r="E4" s="327" t="s">
        <v>68</v>
      </c>
      <c r="F4" s="328" t="s">
        <v>69</v>
      </c>
      <c r="G4" s="459"/>
    </row>
    <row r="5" spans="1:7" s="24" customFormat="1" ht="13.5" customHeight="1" thickBot="1">
      <c r="A5" s="489"/>
      <c r="B5" s="489"/>
      <c r="C5" s="240" t="s">
        <v>9</v>
      </c>
      <c r="D5" s="5">
        <v>1</v>
      </c>
      <c r="E5" s="20">
        <v>2</v>
      </c>
      <c r="F5" s="5">
        <v>3</v>
      </c>
      <c r="G5" s="8">
        <v>4</v>
      </c>
    </row>
    <row r="6" spans="1:7" s="24" customFormat="1" ht="13.5" customHeight="1">
      <c r="A6" s="434" t="s">
        <v>5</v>
      </c>
      <c r="B6" s="430" t="s">
        <v>6</v>
      </c>
      <c r="C6" s="59" t="s">
        <v>175</v>
      </c>
      <c r="D6" s="168">
        <v>48881.05</v>
      </c>
      <c r="E6" s="297">
        <v>54624.93</v>
      </c>
      <c r="F6" s="251">
        <v>69506.62</v>
      </c>
      <c r="G6" s="106">
        <f>SUM(D6:F6)</f>
        <v>173012.6</v>
      </c>
    </row>
    <row r="7" spans="1:7" s="24" customFormat="1" ht="12.75">
      <c r="A7" s="433"/>
      <c r="B7" s="431"/>
      <c r="C7" s="58" t="s">
        <v>1</v>
      </c>
      <c r="D7" s="155">
        <v>148707.54</v>
      </c>
      <c r="E7" s="286">
        <v>155046.15</v>
      </c>
      <c r="F7" s="252">
        <v>228657.6</v>
      </c>
      <c r="G7" s="86">
        <f aca="true" t="shared" si="0" ref="G7:G65">SUM(D7:F7)</f>
        <v>532411.29</v>
      </c>
    </row>
    <row r="8" spans="1:7" s="24" customFormat="1" ht="13.5" thickBot="1">
      <c r="A8" s="433"/>
      <c r="B8" s="431"/>
      <c r="C8" s="58" t="s">
        <v>2</v>
      </c>
      <c r="D8" s="588">
        <v>132484.65</v>
      </c>
      <c r="E8" s="286">
        <v>139826.24</v>
      </c>
      <c r="F8" s="252">
        <v>201442.38</v>
      </c>
      <c r="G8" s="86">
        <f t="shared" si="0"/>
        <v>473753.27</v>
      </c>
    </row>
    <row r="9" spans="1:7" s="24" customFormat="1" ht="12.75">
      <c r="A9" s="433"/>
      <c r="B9" s="431"/>
      <c r="C9" s="58" t="s">
        <v>4</v>
      </c>
      <c r="D9" s="251">
        <f aca="true" t="shared" si="1" ref="D9:F10">+D7</f>
        <v>148707.54</v>
      </c>
      <c r="E9" s="307">
        <f t="shared" si="1"/>
        <v>155046.15</v>
      </c>
      <c r="F9" s="252">
        <f t="shared" si="1"/>
        <v>228657.6</v>
      </c>
      <c r="G9" s="86">
        <f t="shared" si="0"/>
        <v>532411.29</v>
      </c>
    </row>
    <row r="10" spans="1:7" s="24" customFormat="1" ht="12.75">
      <c r="A10" s="433"/>
      <c r="B10" s="431"/>
      <c r="C10" s="58" t="s">
        <v>3</v>
      </c>
      <c r="D10" s="252">
        <f t="shared" si="1"/>
        <v>132484.65</v>
      </c>
      <c r="E10" s="307">
        <f t="shared" si="1"/>
        <v>139826.24</v>
      </c>
      <c r="F10" s="252">
        <f t="shared" si="1"/>
        <v>201442.38</v>
      </c>
      <c r="G10" s="86">
        <f t="shared" si="0"/>
        <v>473753.27</v>
      </c>
    </row>
    <row r="11" spans="1:7" s="3" customFormat="1" ht="13.5" thickBot="1">
      <c r="A11" s="433"/>
      <c r="B11" s="432"/>
      <c r="C11" s="61" t="s">
        <v>199</v>
      </c>
      <c r="D11" s="75">
        <f>D6+D7-D8</f>
        <v>65103.94000000003</v>
      </c>
      <c r="E11" s="76">
        <f>E6+E7-E8</f>
        <v>69844.84</v>
      </c>
      <c r="F11" s="75">
        <f>F6+F7-F8</f>
        <v>96721.83999999997</v>
      </c>
      <c r="G11" s="78">
        <f t="shared" si="0"/>
        <v>231670.62</v>
      </c>
    </row>
    <row r="12" spans="1:7" s="24" customFormat="1" ht="13.5" customHeight="1">
      <c r="A12" s="433"/>
      <c r="B12" s="430" t="s">
        <v>7</v>
      </c>
      <c r="C12" s="59" t="s">
        <v>175</v>
      </c>
      <c r="D12" s="251">
        <f>27993.52+42510.56</f>
        <v>70504.08</v>
      </c>
      <c r="E12" s="308">
        <f>30384.78+46049.1</f>
        <v>76433.88</v>
      </c>
      <c r="F12" s="251">
        <v>63921.43</v>
      </c>
      <c r="G12" s="85">
        <f t="shared" si="0"/>
        <v>210859.39</v>
      </c>
    </row>
    <row r="13" spans="1:7" s="24" customFormat="1" ht="12.75">
      <c r="A13" s="433"/>
      <c r="B13" s="431"/>
      <c r="C13" s="58" t="s">
        <v>1</v>
      </c>
      <c r="D13" s="252">
        <f>36305.56+133696.03</f>
        <v>170001.59</v>
      </c>
      <c r="E13" s="307">
        <f>37628.48+139274.18</f>
        <v>176902.66</v>
      </c>
      <c r="F13" s="252">
        <v>208918.47</v>
      </c>
      <c r="G13" s="86">
        <f t="shared" si="0"/>
        <v>555822.72</v>
      </c>
    </row>
    <row r="14" spans="1:7" s="24" customFormat="1" ht="12.75">
      <c r="A14" s="433"/>
      <c r="B14" s="431"/>
      <c r="C14" s="58" t="s">
        <v>2</v>
      </c>
      <c r="D14" s="252">
        <f>43206.11+118646.83</f>
        <v>161852.94</v>
      </c>
      <c r="E14" s="307">
        <f>34355.78+124527.45</f>
        <v>158883.22999999998</v>
      </c>
      <c r="F14" s="252">
        <v>182315.65</v>
      </c>
      <c r="G14" s="87">
        <f t="shared" si="0"/>
        <v>503051.81999999995</v>
      </c>
    </row>
    <row r="15" spans="1:7" s="24" customFormat="1" ht="12.75">
      <c r="A15" s="433"/>
      <c r="B15" s="431"/>
      <c r="C15" s="58" t="s">
        <v>4</v>
      </c>
      <c r="D15" s="252">
        <f aca="true" t="shared" si="2" ref="D15:F16">+D13</f>
        <v>170001.59</v>
      </c>
      <c r="E15" s="307">
        <f t="shared" si="2"/>
        <v>176902.66</v>
      </c>
      <c r="F15" s="252">
        <f t="shared" si="2"/>
        <v>208918.47</v>
      </c>
      <c r="G15" s="86">
        <f t="shared" si="0"/>
        <v>555822.72</v>
      </c>
    </row>
    <row r="16" spans="1:7" s="24" customFormat="1" ht="12.75">
      <c r="A16" s="433"/>
      <c r="B16" s="431"/>
      <c r="C16" s="58" t="s">
        <v>3</v>
      </c>
      <c r="D16" s="252">
        <f t="shared" si="2"/>
        <v>161852.94</v>
      </c>
      <c r="E16" s="307">
        <f t="shared" si="2"/>
        <v>158883.22999999998</v>
      </c>
      <c r="F16" s="252">
        <f t="shared" si="2"/>
        <v>182315.65</v>
      </c>
      <c r="G16" s="86">
        <f t="shared" si="0"/>
        <v>503051.81999999995</v>
      </c>
    </row>
    <row r="17" spans="1:7" s="3" customFormat="1" ht="13.5" thickBot="1">
      <c r="A17" s="435"/>
      <c r="B17" s="432"/>
      <c r="C17" s="61" t="s">
        <v>199</v>
      </c>
      <c r="D17" s="75">
        <f>D12+D13-D14</f>
        <v>78652.72999999998</v>
      </c>
      <c r="E17" s="76">
        <f>E12+E13-E14</f>
        <v>94453.31000000003</v>
      </c>
      <c r="F17" s="75">
        <f>F12+F13-F14</f>
        <v>90524.25000000003</v>
      </c>
      <c r="G17" s="78">
        <f t="shared" si="0"/>
        <v>263630.29000000004</v>
      </c>
    </row>
    <row r="18" spans="1:7" s="3" customFormat="1" ht="13.5" customHeight="1" thickBot="1">
      <c r="A18" s="434"/>
      <c r="B18" s="429" t="s">
        <v>122</v>
      </c>
      <c r="C18" s="59" t="s">
        <v>175</v>
      </c>
      <c r="D18" s="251">
        <v>-1392.68</v>
      </c>
      <c r="E18" s="308">
        <v>12.32</v>
      </c>
      <c r="F18" s="275">
        <v>92.01</v>
      </c>
      <c r="G18" s="106">
        <f aca="true" t="shared" si="3" ref="G18:G23">SUM(D18:F18)</f>
        <v>-1288.3500000000001</v>
      </c>
    </row>
    <row r="19" spans="1:7" s="3" customFormat="1" ht="13.5" thickBot="1">
      <c r="A19" s="433"/>
      <c r="B19" s="429"/>
      <c r="C19" s="58" t="s">
        <v>1</v>
      </c>
      <c r="D19" s="252">
        <v>1552.93</v>
      </c>
      <c r="E19" s="307">
        <v>33.13</v>
      </c>
      <c r="F19" s="252">
        <v>-66.14</v>
      </c>
      <c r="G19" s="86">
        <f t="shared" si="3"/>
        <v>1519.92</v>
      </c>
    </row>
    <row r="20" spans="1:7" s="3" customFormat="1" ht="13.5" thickBot="1">
      <c r="A20" s="433"/>
      <c r="B20" s="429"/>
      <c r="C20" s="58" t="s">
        <v>2</v>
      </c>
      <c r="D20" s="252">
        <v>160.25</v>
      </c>
      <c r="E20" s="307">
        <v>45.45</v>
      </c>
      <c r="F20" s="252">
        <v>25.87</v>
      </c>
      <c r="G20" s="86">
        <f t="shared" si="3"/>
        <v>231.57</v>
      </c>
    </row>
    <row r="21" spans="1:7" s="3" customFormat="1" ht="13.5" thickBot="1">
      <c r="A21" s="433"/>
      <c r="B21" s="429"/>
      <c r="C21" s="58" t="s">
        <v>4</v>
      </c>
      <c r="D21" s="252">
        <f aca="true" t="shared" si="4" ref="D21:F22">+D19</f>
        <v>1552.93</v>
      </c>
      <c r="E21" s="307">
        <f t="shared" si="4"/>
        <v>33.13</v>
      </c>
      <c r="F21" s="252">
        <f t="shared" si="4"/>
        <v>-66.14</v>
      </c>
      <c r="G21" s="86">
        <f t="shared" si="3"/>
        <v>1519.92</v>
      </c>
    </row>
    <row r="22" spans="1:7" s="3" customFormat="1" ht="13.5" thickBot="1">
      <c r="A22" s="433"/>
      <c r="B22" s="429"/>
      <c r="C22" s="58" t="s">
        <v>3</v>
      </c>
      <c r="D22" s="252">
        <f t="shared" si="4"/>
        <v>160.25</v>
      </c>
      <c r="E22" s="307">
        <f t="shared" si="4"/>
        <v>45.45</v>
      </c>
      <c r="F22" s="252">
        <f t="shared" si="4"/>
        <v>25.87</v>
      </c>
      <c r="G22" s="86">
        <f t="shared" si="3"/>
        <v>231.57</v>
      </c>
    </row>
    <row r="23" spans="1:7" s="3" customFormat="1" ht="13.5" thickBot="1">
      <c r="A23" s="435"/>
      <c r="B23" s="429"/>
      <c r="C23" s="61" t="s">
        <v>199</v>
      </c>
      <c r="D23" s="75">
        <f>D18+D19-D20</f>
        <v>0</v>
      </c>
      <c r="E23" s="76">
        <f>E18+E19-E20</f>
        <v>0</v>
      </c>
      <c r="F23" s="75">
        <f>F18+F19-F20</f>
        <v>0</v>
      </c>
      <c r="G23" s="78">
        <f t="shared" si="3"/>
        <v>0</v>
      </c>
    </row>
    <row r="24" spans="1:7" s="24" customFormat="1" ht="12.75" customHeight="1" thickBot="1">
      <c r="A24" s="428" t="s">
        <v>11</v>
      </c>
      <c r="B24" s="429" t="s">
        <v>10</v>
      </c>
      <c r="C24" s="59" t="s">
        <v>175</v>
      </c>
      <c r="D24" s="251">
        <v>349557.82</v>
      </c>
      <c r="E24" s="308">
        <v>239606.24</v>
      </c>
      <c r="F24" s="275">
        <v>325219.68</v>
      </c>
      <c r="G24" s="106">
        <f t="shared" si="0"/>
        <v>914383.74</v>
      </c>
    </row>
    <row r="25" spans="1:7" s="24" customFormat="1" ht="13.5" thickBot="1">
      <c r="A25" s="428"/>
      <c r="B25" s="429"/>
      <c r="C25" s="58" t="s">
        <v>1</v>
      </c>
      <c r="D25" s="252">
        <v>1151562.48</v>
      </c>
      <c r="E25" s="307">
        <v>1262739.18</v>
      </c>
      <c r="F25" s="252">
        <v>1459731.78</v>
      </c>
      <c r="G25" s="86">
        <f t="shared" si="0"/>
        <v>3874033.4400000004</v>
      </c>
    </row>
    <row r="26" spans="1:7" s="24" customFormat="1" ht="13.5" thickBot="1">
      <c r="A26" s="428"/>
      <c r="B26" s="429"/>
      <c r="C26" s="58" t="s">
        <v>2</v>
      </c>
      <c r="D26" s="252">
        <v>1225470.94</v>
      </c>
      <c r="E26" s="307">
        <v>1255243.28</v>
      </c>
      <c r="F26" s="252">
        <v>1404356.54</v>
      </c>
      <c r="G26" s="86">
        <f t="shared" si="0"/>
        <v>3885070.76</v>
      </c>
    </row>
    <row r="27" spans="1:7" s="24" customFormat="1" ht="13.5" thickBot="1">
      <c r="A27" s="428"/>
      <c r="B27" s="429"/>
      <c r="C27" s="58" t="s">
        <v>4</v>
      </c>
      <c r="D27" s="252">
        <f aca="true" t="shared" si="5" ref="D27:F28">+D25</f>
        <v>1151562.48</v>
      </c>
      <c r="E27" s="307">
        <f t="shared" si="5"/>
        <v>1262739.18</v>
      </c>
      <c r="F27" s="252">
        <f t="shared" si="5"/>
        <v>1459731.78</v>
      </c>
      <c r="G27" s="86">
        <f t="shared" si="0"/>
        <v>3874033.4400000004</v>
      </c>
    </row>
    <row r="28" spans="1:7" s="24" customFormat="1" ht="13.5" thickBot="1">
      <c r="A28" s="428"/>
      <c r="B28" s="429"/>
      <c r="C28" s="58" t="s">
        <v>3</v>
      </c>
      <c r="D28" s="252">
        <f t="shared" si="5"/>
        <v>1225470.94</v>
      </c>
      <c r="E28" s="307">
        <v>1269396.42</v>
      </c>
      <c r="F28" s="252">
        <f t="shared" si="5"/>
        <v>1404356.54</v>
      </c>
      <c r="G28" s="86">
        <f t="shared" si="0"/>
        <v>3899223.9</v>
      </c>
    </row>
    <row r="29" spans="1:7" s="3" customFormat="1" ht="13.5" thickBot="1">
      <c r="A29" s="428"/>
      <c r="B29" s="429"/>
      <c r="C29" s="61" t="s">
        <v>199</v>
      </c>
      <c r="D29" s="75">
        <f>D24+D25-D26</f>
        <v>275649.3600000001</v>
      </c>
      <c r="E29" s="76">
        <f>E24+E25-E26</f>
        <v>247102.1399999999</v>
      </c>
      <c r="F29" s="75">
        <f>F24+F25-F26</f>
        <v>380594.9199999999</v>
      </c>
      <c r="G29" s="72">
        <f>SUM(D29:F29)</f>
        <v>903346.4199999999</v>
      </c>
    </row>
    <row r="30" spans="1:7" s="24" customFormat="1" ht="13.5" thickBot="1">
      <c r="A30" s="428"/>
      <c r="B30" s="429" t="s">
        <v>12</v>
      </c>
      <c r="C30" s="59" t="s">
        <v>175</v>
      </c>
      <c r="D30" s="251">
        <v>23281.97</v>
      </c>
      <c r="E30" s="308">
        <f>68.07+24831.62</f>
        <v>24899.69</v>
      </c>
      <c r="F30" s="275">
        <v>78008.69</v>
      </c>
      <c r="G30" s="85">
        <f t="shared" si="0"/>
        <v>126190.35</v>
      </c>
    </row>
    <row r="31" spans="1:7" s="24" customFormat="1" ht="13.5" thickBot="1">
      <c r="A31" s="428"/>
      <c r="B31" s="429"/>
      <c r="C31" s="58" t="s">
        <v>1</v>
      </c>
      <c r="D31" s="252">
        <f>95731.91+29175.79</f>
        <v>124907.70000000001</v>
      </c>
      <c r="E31" s="307">
        <f>101905.34+28001.19</f>
        <v>129906.53</v>
      </c>
      <c r="F31" s="252">
        <v>254920.2</v>
      </c>
      <c r="G31" s="86">
        <f t="shared" si="0"/>
        <v>509734.43000000005</v>
      </c>
    </row>
    <row r="32" spans="1:7" s="24" customFormat="1" ht="13.5" thickBot="1">
      <c r="A32" s="428"/>
      <c r="B32" s="429"/>
      <c r="C32" s="58" t="s">
        <v>2</v>
      </c>
      <c r="D32" s="252">
        <f>49624.84+52457.76</f>
        <v>102082.6</v>
      </c>
      <c r="E32" s="307">
        <f>65409.89+52832.81</f>
        <v>118242.7</v>
      </c>
      <c r="F32" s="252">
        <v>224141.54</v>
      </c>
      <c r="G32" s="87">
        <f t="shared" si="0"/>
        <v>444466.83999999997</v>
      </c>
    </row>
    <row r="33" spans="1:7" s="24" customFormat="1" ht="13.5" thickBot="1">
      <c r="A33" s="428"/>
      <c r="B33" s="429"/>
      <c r="C33" s="58" t="s">
        <v>4</v>
      </c>
      <c r="D33" s="252">
        <f aca="true" t="shared" si="6" ref="D33:F34">+D31</f>
        <v>124907.70000000001</v>
      </c>
      <c r="E33" s="307">
        <f t="shared" si="6"/>
        <v>129906.53</v>
      </c>
      <c r="F33" s="252">
        <f t="shared" si="6"/>
        <v>254920.2</v>
      </c>
      <c r="G33" s="86">
        <f t="shared" si="0"/>
        <v>509734.43000000005</v>
      </c>
    </row>
    <row r="34" spans="1:7" s="24" customFormat="1" ht="13.5" thickBot="1">
      <c r="A34" s="428"/>
      <c r="B34" s="429"/>
      <c r="C34" s="58" t="s">
        <v>3</v>
      </c>
      <c r="D34" s="252">
        <f t="shared" si="6"/>
        <v>102082.6</v>
      </c>
      <c r="E34" s="307">
        <f>E33+E30</f>
        <v>154806.22</v>
      </c>
      <c r="F34" s="252">
        <f t="shared" si="6"/>
        <v>224141.54</v>
      </c>
      <c r="G34" s="86">
        <f t="shared" si="0"/>
        <v>481030.36</v>
      </c>
    </row>
    <row r="35" spans="1:7" s="3" customFormat="1" ht="13.5" thickBot="1">
      <c r="A35" s="428"/>
      <c r="B35" s="429"/>
      <c r="C35" s="61" t="s">
        <v>199</v>
      </c>
      <c r="D35" s="75">
        <f>D30+D31-D32</f>
        <v>46107.07000000001</v>
      </c>
      <c r="E35" s="76">
        <f>E30+E31-E32</f>
        <v>36563.520000000004</v>
      </c>
      <c r="F35" s="75">
        <f>F30+F31-F32</f>
        <v>108787.35</v>
      </c>
      <c r="G35" s="78">
        <f t="shared" si="0"/>
        <v>191457.94</v>
      </c>
    </row>
    <row r="36" spans="1:7" s="3" customFormat="1" ht="13.5" thickBot="1">
      <c r="A36" s="428"/>
      <c r="B36" s="429" t="s">
        <v>124</v>
      </c>
      <c r="C36" s="59" t="s">
        <v>175</v>
      </c>
      <c r="D36" s="251">
        <v>-2313.74</v>
      </c>
      <c r="E36" s="308">
        <v>18.87</v>
      </c>
      <c r="F36" s="275">
        <v>147.96</v>
      </c>
      <c r="G36" s="106">
        <f aca="true" t="shared" si="7" ref="G36:G41">SUM(D36:F36)</f>
        <v>-2146.91</v>
      </c>
    </row>
    <row r="37" spans="1:7" s="3" customFormat="1" ht="13.5" thickBot="1">
      <c r="A37" s="428"/>
      <c r="B37" s="429"/>
      <c r="C37" s="58" t="s">
        <v>1</v>
      </c>
      <c r="D37" s="589">
        <v>2569.8</v>
      </c>
      <c r="E37" s="307">
        <v>53.34</v>
      </c>
      <c r="F37" s="252">
        <v>-106.65</v>
      </c>
      <c r="G37" s="86">
        <f t="shared" si="7"/>
        <v>2516.4900000000002</v>
      </c>
    </row>
    <row r="38" spans="1:7" s="3" customFormat="1" ht="13.5" thickBot="1">
      <c r="A38" s="428"/>
      <c r="B38" s="429"/>
      <c r="C38" s="58" t="s">
        <v>2</v>
      </c>
      <c r="D38" s="590">
        <v>256.06</v>
      </c>
      <c r="E38" s="307">
        <v>72.21</v>
      </c>
      <c r="F38" s="252">
        <v>41.31</v>
      </c>
      <c r="G38" s="86">
        <f t="shared" si="7"/>
        <v>369.58</v>
      </c>
    </row>
    <row r="39" spans="1:7" s="3" customFormat="1" ht="13.5" thickBot="1">
      <c r="A39" s="428"/>
      <c r="B39" s="429"/>
      <c r="C39" s="58" t="s">
        <v>4</v>
      </c>
      <c r="D39" s="252">
        <f aca="true" t="shared" si="8" ref="D39:F40">+D37</f>
        <v>2569.8</v>
      </c>
      <c r="E39" s="307">
        <f t="shared" si="8"/>
        <v>53.34</v>
      </c>
      <c r="F39" s="252">
        <f t="shared" si="8"/>
        <v>-106.65</v>
      </c>
      <c r="G39" s="86">
        <f t="shared" si="7"/>
        <v>2516.4900000000002</v>
      </c>
    </row>
    <row r="40" spans="1:7" s="3" customFormat="1" ht="13.5" thickBot="1">
      <c r="A40" s="428"/>
      <c r="B40" s="429"/>
      <c r="C40" s="58" t="s">
        <v>3</v>
      </c>
      <c r="D40" s="252">
        <f t="shared" si="8"/>
        <v>256.06</v>
      </c>
      <c r="E40" s="307">
        <f t="shared" si="8"/>
        <v>72.21</v>
      </c>
      <c r="F40" s="252">
        <f t="shared" si="8"/>
        <v>41.31</v>
      </c>
      <c r="G40" s="86">
        <f t="shared" si="7"/>
        <v>369.58</v>
      </c>
    </row>
    <row r="41" spans="1:7" s="3" customFormat="1" ht="13.5" thickBot="1">
      <c r="A41" s="428"/>
      <c r="B41" s="429"/>
      <c r="C41" s="61" t="s">
        <v>199</v>
      </c>
      <c r="D41" s="75">
        <f>D36+D37-D38</f>
        <v>0</v>
      </c>
      <c r="E41" s="76">
        <f>E36+E37-E38</f>
        <v>0</v>
      </c>
      <c r="F41" s="75">
        <f>F36+F37-F38</f>
        <v>0</v>
      </c>
      <c r="G41" s="78">
        <f t="shared" si="7"/>
        <v>0</v>
      </c>
    </row>
    <row r="42" spans="1:7" s="3" customFormat="1" ht="13.5" customHeight="1" thickBot="1">
      <c r="A42" s="428"/>
      <c r="B42" s="470" t="s">
        <v>125</v>
      </c>
      <c r="C42" s="59" t="s">
        <v>175</v>
      </c>
      <c r="D42" s="251">
        <f>-28609.47-17.6</f>
        <v>-28627.07</v>
      </c>
      <c r="E42" s="308">
        <f>-2372.54-17.53</f>
        <v>-2390.07</v>
      </c>
      <c r="F42" s="251">
        <f>720.54-117.27</f>
        <v>603.27</v>
      </c>
      <c r="G42" s="106">
        <f t="shared" si="0"/>
        <v>-30413.87</v>
      </c>
    </row>
    <row r="43" spans="1:7" s="3" customFormat="1" ht="13.5" thickBot="1">
      <c r="A43" s="428"/>
      <c r="B43" s="471"/>
      <c r="C43" s="58" t="s">
        <v>1</v>
      </c>
      <c r="D43" s="252">
        <f>31933.67+17.6</f>
        <v>31951.269999999997</v>
      </c>
      <c r="E43" s="307">
        <f>3240.03+17.53</f>
        <v>3257.5600000000004</v>
      </c>
      <c r="F43" s="252">
        <f>-176.8+117.27</f>
        <v>-59.530000000000015</v>
      </c>
      <c r="G43" s="86">
        <f t="shared" si="0"/>
        <v>35149.299999999996</v>
      </c>
    </row>
    <row r="44" spans="1:7" s="3" customFormat="1" ht="13.5" thickBot="1">
      <c r="A44" s="428"/>
      <c r="B44" s="471"/>
      <c r="C44" s="58" t="s">
        <v>2</v>
      </c>
      <c r="D44" s="252">
        <v>3324.2</v>
      </c>
      <c r="E44" s="307">
        <v>867.49</v>
      </c>
      <c r="F44" s="252">
        <v>543.74</v>
      </c>
      <c r="G44" s="86">
        <f t="shared" si="0"/>
        <v>4735.429999999999</v>
      </c>
    </row>
    <row r="45" spans="1:7" s="3" customFormat="1" ht="13.5" thickBot="1">
      <c r="A45" s="428"/>
      <c r="B45" s="471"/>
      <c r="C45" s="58" t="s">
        <v>4</v>
      </c>
      <c r="D45" s="252">
        <f aca="true" t="shared" si="9" ref="D45:F46">+D43</f>
        <v>31951.269999999997</v>
      </c>
      <c r="E45" s="307">
        <f t="shared" si="9"/>
        <v>3257.5600000000004</v>
      </c>
      <c r="F45" s="252">
        <f t="shared" si="9"/>
        <v>-59.530000000000015</v>
      </c>
      <c r="G45" s="86">
        <f t="shared" si="0"/>
        <v>35149.299999999996</v>
      </c>
    </row>
    <row r="46" spans="1:7" s="3" customFormat="1" ht="13.5" thickBot="1">
      <c r="A46" s="428"/>
      <c r="B46" s="471"/>
      <c r="C46" s="58" t="s">
        <v>3</v>
      </c>
      <c r="D46" s="252">
        <f t="shared" si="9"/>
        <v>3324.2</v>
      </c>
      <c r="E46" s="307">
        <f t="shared" si="9"/>
        <v>867.49</v>
      </c>
      <c r="F46" s="252">
        <f t="shared" si="9"/>
        <v>543.74</v>
      </c>
      <c r="G46" s="86">
        <f t="shared" si="0"/>
        <v>4735.429999999999</v>
      </c>
    </row>
    <row r="47" spans="1:7" s="3" customFormat="1" ht="13.5" thickBot="1">
      <c r="A47" s="428"/>
      <c r="B47" s="472"/>
      <c r="C47" s="61" t="s">
        <v>199</v>
      </c>
      <c r="D47" s="75">
        <f>D42+D43-D44</f>
        <v>0</v>
      </c>
      <c r="E47" s="76">
        <f>E42+E43-E44</f>
        <v>0</v>
      </c>
      <c r="F47" s="75">
        <f>F42+F43-F44</f>
        <v>0</v>
      </c>
      <c r="G47" s="78">
        <f t="shared" si="0"/>
        <v>0</v>
      </c>
    </row>
    <row r="48" spans="1:7" s="24" customFormat="1" ht="12.75" customHeight="1">
      <c r="A48" s="434" t="s">
        <v>13</v>
      </c>
      <c r="B48" s="430" t="s">
        <v>14</v>
      </c>
      <c r="C48" s="59" t="s">
        <v>175</v>
      </c>
      <c r="D48" s="251">
        <v>18395.71</v>
      </c>
      <c r="E48" s="308">
        <v>17055.5</v>
      </c>
      <c r="F48" s="251">
        <v>22144.42</v>
      </c>
      <c r="G48" s="106">
        <f t="shared" si="0"/>
        <v>57595.63</v>
      </c>
    </row>
    <row r="49" spans="1:7" s="24" customFormat="1" ht="12.75">
      <c r="A49" s="433"/>
      <c r="B49" s="431"/>
      <c r="C49" s="58" t="s">
        <v>1</v>
      </c>
      <c r="D49" s="252">
        <v>70422.01</v>
      </c>
      <c r="E49" s="307">
        <v>59353.66</v>
      </c>
      <c r="F49" s="252">
        <v>80085.01</v>
      </c>
      <c r="G49" s="86">
        <f t="shared" si="0"/>
        <v>209860.68</v>
      </c>
    </row>
    <row r="50" spans="1:7" s="24" customFormat="1" ht="12.75">
      <c r="A50" s="433"/>
      <c r="B50" s="431"/>
      <c r="C50" s="58" t="s">
        <v>2</v>
      </c>
      <c r="D50" s="252">
        <v>67808.04</v>
      </c>
      <c r="E50" s="307">
        <v>59664.86</v>
      </c>
      <c r="F50" s="252">
        <v>81421.81</v>
      </c>
      <c r="G50" s="86">
        <f t="shared" si="0"/>
        <v>208894.71</v>
      </c>
    </row>
    <row r="51" spans="1:7" s="24" customFormat="1" ht="12.75">
      <c r="A51" s="433"/>
      <c r="B51" s="431"/>
      <c r="C51" s="58" t="s">
        <v>4</v>
      </c>
      <c r="D51" s="252">
        <f aca="true" t="shared" si="10" ref="D51:F52">+D49</f>
        <v>70422.01</v>
      </c>
      <c r="E51" s="307">
        <f t="shared" si="10"/>
        <v>59353.66</v>
      </c>
      <c r="F51" s="252">
        <f t="shared" si="10"/>
        <v>80085.01</v>
      </c>
      <c r="G51" s="86">
        <f t="shared" si="0"/>
        <v>209860.68</v>
      </c>
    </row>
    <row r="52" spans="1:7" s="24" customFormat="1" ht="12.75">
      <c r="A52" s="433"/>
      <c r="B52" s="431"/>
      <c r="C52" s="58" t="s">
        <v>3</v>
      </c>
      <c r="D52" s="252">
        <f t="shared" si="10"/>
        <v>67808.04</v>
      </c>
      <c r="E52" s="307">
        <f t="shared" si="10"/>
        <v>59664.86</v>
      </c>
      <c r="F52" s="252">
        <f t="shared" si="10"/>
        <v>81421.81</v>
      </c>
      <c r="G52" s="86">
        <f t="shared" si="0"/>
        <v>208894.71</v>
      </c>
    </row>
    <row r="53" spans="1:7" s="3" customFormat="1" ht="13.5" thickBot="1">
      <c r="A53" s="433"/>
      <c r="B53" s="432"/>
      <c r="C53" s="61" t="s">
        <v>199</v>
      </c>
      <c r="D53" s="75">
        <f>D48+D49-D50</f>
        <v>21009.680000000008</v>
      </c>
      <c r="E53" s="76">
        <f>E48+E49-E50</f>
        <v>16744.300000000003</v>
      </c>
      <c r="F53" s="75">
        <f>F48+F49-F50</f>
        <v>20807.619999999995</v>
      </c>
      <c r="G53" s="78">
        <f t="shared" si="0"/>
        <v>58561.600000000006</v>
      </c>
    </row>
    <row r="54" spans="1:7" s="24" customFormat="1" ht="13.5" thickBot="1">
      <c r="A54" s="433"/>
      <c r="B54" s="432" t="s">
        <v>15</v>
      </c>
      <c r="C54" s="59" t="s">
        <v>175</v>
      </c>
      <c r="D54" s="251">
        <v>5282.03</v>
      </c>
      <c r="E54" s="308">
        <f>541.45+3298.98</f>
        <v>3840.4300000000003</v>
      </c>
      <c r="F54" s="251">
        <v>4945.75</v>
      </c>
      <c r="G54" s="106">
        <f t="shared" si="0"/>
        <v>14068.21</v>
      </c>
    </row>
    <row r="55" spans="1:7" s="24" customFormat="1" ht="13.5" thickBot="1">
      <c r="A55" s="433"/>
      <c r="B55" s="429"/>
      <c r="C55" s="58" t="s">
        <v>1</v>
      </c>
      <c r="D55" s="252">
        <v>16695.36</v>
      </c>
      <c r="E55" s="307">
        <f>-541.45+16932.48</f>
        <v>16391.03</v>
      </c>
      <c r="F55" s="252">
        <v>21163.2</v>
      </c>
      <c r="G55" s="86">
        <f t="shared" si="0"/>
        <v>54249.59</v>
      </c>
    </row>
    <row r="56" spans="1:7" s="24" customFormat="1" ht="13.5" thickBot="1">
      <c r="A56" s="433"/>
      <c r="B56" s="429"/>
      <c r="C56" s="58" t="s">
        <v>2</v>
      </c>
      <c r="D56" s="252">
        <v>17980.21</v>
      </c>
      <c r="E56" s="307">
        <v>16871.95</v>
      </c>
      <c r="F56" s="252">
        <v>20501.57</v>
      </c>
      <c r="G56" s="86">
        <f t="shared" si="0"/>
        <v>55353.73</v>
      </c>
    </row>
    <row r="57" spans="1:7" s="24" customFormat="1" ht="13.5" thickBot="1">
      <c r="A57" s="433"/>
      <c r="B57" s="429"/>
      <c r="C57" s="58" t="s">
        <v>4</v>
      </c>
      <c r="D57" s="252">
        <f aca="true" t="shared" si="11" ref="D57:F58">+D55</f>
        <v>16695.36</v>
      </c>
      <c r="E57" s="307">
        <f t="shared" si="11"/>
        <v>16391.03</v>
      </c>
      <c r="F57" s="252">
        <f t="shared" si="11"/>
        <v>21163.2</v>
      </c>
      <c r="G57" s="86">
        <f t="shared" si="0"/>
        <v>54249.59</v>
      </c>
    </row>
    <row r="58" spans="1:7" s="24" customFormat="1" ht="13.5" thickBot="1">
      <c r="A58" s="433"/>
      <c r="B58" s="429"/>
      <c r="C58" s="58" t="s">
        <v>3</v>
      </c>
      <c r="D58" s="252">
        <f t="shared" si="11"/>
        <v>17980.21</v>
      </c>
      <c r="E58" s="307">
        <f t="shared" si="11"/>
        <v>16871.95</v>
      </c>
      <c r="F58" s="252">
        <f t="shared" si="11"/>
        <v>20501.57</v>
      </c>
      <c r="G58" s="86">
        <f t="shared" si="0"/>
        <v>55353.73</v>
      </c>
    </row>
    <row r="59" spans="1:7" s="3" customFormat="1" ht="13.5" thickBot="1">
      <c r="A59" s="464"/>
      <c r="B59" s="429"/>
      <c r="C59" s="61" t="s">
        <v>199</v>
      </c>
      <c r="D59" s="75">
        <f>D54+D55-D56</f>
        <v>3997.1800000000003</v>
      </c>
      <c r="E59" s="76">
        <f>E54+E55-E56</f>
        <v>3359.5099999999984</v>
      </c>
      <c r="F59" s="75">
        <f>F54+F55-F56</f>
        <v>5607.380000000001</v>
      </c>
      <c r="G59" s="78">
        <f t="shared" si="0"/>
        <v>12964.07</v>
      </c>
    </row>
    <row r="60" spans="1:7" s="24" customFormat="1" ht="13.5" customHeight="1" thickBot="1">
      <c r="A60" s="380" t="s">
        <v>17</v>
      </c>
      <c r="B60" s="439" t="s">
        <v>16</v>
      </c>
      <c r="C60" s="59" t="s">
        <v>175</v>
      </c>
      <c r="D60" s="251">
        <v>18851.08</v>
      </c>
      <c r="E60" s="308">
        <v>12770.43</v>
      </c>
      <c r="F60" s="251">
        <v>17422.5</v>
      </c>
      <c r="G60" s="106">
        <f t="shared" si="0"/>
        <v>49044.01</v>
      </c>
    </row>
    <row r="61" spans="1:7" s="24" customFormat="1" ht="13.5" thickBot="1">
      <c r="A61" s="492"/>
      <c r="B61" s="439"/>
      <c r="C61" s="58" t="s">
        <v>1</v>
      </c>
      <c r="D61" s="252">
        <v>57753.64</v>
      </c>
      <c r="E61" s="307">
        <v>66751.94</v>
      </c>
      <c r="F61" s="252">
        <v>73232.34</v>
      </c>
      <c r="G61" s="86">
        <f t="shared" si="0"/>
        <v>197737.91999999998</v>
      </c>
    </row>
    <row r="62" spans="1:7" s="24" customFormat="1" ht="13.5" thickBot="1">
      <c r="A62" s="492"/>
      <c r="B62" s="439"/>
      <c r="C62" s="58" t="s">
        <v>2</v>
      </c>
      <c r="D62" s="252">
        <v>62760.51</v>
      </c>
      <c r="E62" s="307">
        <v>66632.71</v>
      </c>
      <c r="F62" s="252">
        <v>70984.01</v>
      </c>
      <c r="G62" s="86">
        <f t="shared" si="0"/>
        <v>200377.22999999998</v>
      </c>
    </row>
    <row r="63" spans="1:7" s="24" customFormat="1" ht="13.5" thickBot="1">
      <c r="A63" s="492"/>
      <c r="B63" s="439"/>
      <c r="C63" s="58" t="s">
        <v>4</v>
      </c>
      <c r="D63" s="252">
        <f aca="true" t="shared" si="12" ref="D63:F64">+D61</f>
        <v>57753.64</v>
      </c>
      <c r="E63" s="307">
        <f t="shared" si="12"/>
        <v>66751.94</v>
      </c>
      <c r="F63" s="252">
        <f t="shared" si="12"/>
        <v>73232.34</v>
      </c>
      <c r="G63" s="86">
        <f t="shared" si="0"/>
        <v>197737.91999999998</v>
      </c>
    </row>
    <row r="64" spans="1:7" s="24" customFormat="1" ht="13.5" thickBot="1">
      <c r="A64" s="492"/>
      <c r="B64" s="439"/>
      <c r="C64" s="58" t="s">
        <v>3</v>
      </c>
      <c r="D64" s="252">
        <f t="shared" si="12"/>
        <v>62760.51</v>
      </c>
      <c r="E64" s="307">
        <f>E63+E60</f>
        <v>79522.37</v>
      </c>
      <c r="F64" s="252">
        <f t="shared" si="12"/>
        <v>70984.01</v>
      </c>
      <c r="G64" s="86">
        <f t="shared" si="0"/>
        <v>213266.89</v>
      </c>
    </row>
    <row r="65" spans="1:7" s="3" customFormat="1" ht="13.5" thickBot="1">
      <c r="A65" s="401"/>
      <c r="B65" s="439"/>
      <c r="C65" s="61" t="s">
        <v>199</v>
      </c>
      <c r="D65" s="75">
        <f>D60+D61-D62</f>
        <v>13844.21</v>
      </c>
      <c r="E65" s="76">
        <f>E60+E61-E62</f>
        <v>12889.659999999989</v>
      </c>
      <c r="F65" s="75">
        <f>F60+F61-F62</f>
        <v>19670.83</v>
      </c>
      <c r="G65" s="78">
        <f t="shared" si="0"/>
        <v>46404.69999999999</v>
      </c>
    </row>
    <row r="66" spans="1:7" ht="13.5" customHeight="1">
      <c r="A66" s="465" t="s">
        <v>188</v>
      </c>
      <c r="B66" s="393"/>
      <c r="C66" s="376"/>
      <c r="D66" s="117"/>
      <c r="E66" s="591"/>
      <c r="F66" s="117"/>
      <c r="G66" s="356"/>
    </row>
    <row r="67" spans="1:7" ht="12.75" customHeight="1" thickBot="1">
      <c r="A67" s="426"/>
      <c r="B67" s="426"/>
      <c r="C67" s="578" t="s">
        <v>175</v>
      </c>
      <c r="D67" s="122">
        <f aca="true" t="shared" si="13" ref="D67:G72">D6+D12+D18+D24+D30+D42+D48+D54+D60+D36</f>
        <v>502420.25000000006</v>
      </c>
      <c r="E67" s="592">
        <f t="shared" si="13"/>
        <v>426872.22</v>
      </c>
      <c r="F67" s="122">
        <f t="shared" si="13"/>
        <v>582012.33</v>
      </c>
      <c r="G67" s="122">
        <f t="shared" si="13"/>
        <v>1511304.7999999998</v>
      </c>
    </row>
    <row r="68" spans="1:7" ht="13.5" thickBot="1">
      <c r="A68" s="427"/>
      <c r="B68" s="427"/>
      <c r="C68" s="338" t="s">
        <v>1</v>
      </c>
      <c r="D68" s="122">
        <f t="shared" si="13"/>
        <v>1776124.32</v>
      </c>
      <c r="E68" s="592">
        <f t="shared" si="13"/>
        <v>1870435.18</v>
      </c>
      <c r="F68" s="122">
        <f t="shared" si="13"/>
        <v>2326476.2800000003</v>
      </c>
      <c r="G68" s="122">
        <f t="shared" si="13"/>
        <v>5973035.779999999</v>
      </c>
    </row>
    <row r="69" spans="1:7" ht="13.5" thickBot="1">
      <c r="A69" s="427"/>
      <c r="B69" s="427"/>
      <c r="C69" s="338" t="s">
        <v>2</v>
      </c>
      <c r="D69" s="122">
        <f t="shared" si="13"/>
        <v>1774180.4</v>
      </c>
      <c r="E69" s="592">
        <f t="shared" si="13"/>
        <v>1816350.1199999999</v>
      </c>
      <c r="F69" s="122">
        <f t="shared" si="13"/>
        <v>2185774.42</v>
      </c>
      <c r="G69" s="122">
        <f t="shared" si="13"/>
        <v>5776304.9399999995</v>
      </c>
    </row>
    <row r="70" spans="1:7" ht="13.5" thickBot="1">
      <c r="A70" s="427"/>
      <c r="B70" s="427"/>
      <c r="C70" s="338" t="s">
        <v>4</v>
      </c>
      <c r="D70" s="122">
        <f t="shared" si="13"/>
        <v>1776124.32</v>
      </c>
      <c r="E70" s="592">
        <f t="shared" si="13"/>
        <v>1870435.18</v>
      </c>
      <c r="F70" s="122">
        <f t="shared" si="13"/>
        <v>2326476.2800000003</v>
      </c>
      <c r="G70" s="122">
        <f t="shared" si="13"/>
        <v>5973035.779999999</v>
      </c>
    </row>
    <row r="71" spans="1:7" ht="13.5" thickBot="1">
      <c r="A71" s="427"/>
      <c r="B71" s="427"/>
      <c r="C71" s="338" t="s">
        <v>3</v>
      </c>
      <c r="D71" s="122">
        <f t="shared" si="13"/>
        <v>1774180.4</v>
      </c>
      <c r="E71" s="592">
        <f t="shared" si="13"/>
        <v>1879956.44</v>
      </c>
      <c r="F71" s="122">
        <f t="shared" si="13"/>
        <v>2185774.42</v>
      </c>
      <c r="G71" s="122">
        <f t="shared" si="13"/>
        <v>5839911.26</v>
      </c>
    </row>
    <row r="72" spans="1:7" s="4" customFormat="1" ht="13.5" thickBot="1">
      <c r="A72" s="427"/>
      <c r="B72" s="427"/>
      <c r="C72" s="587" t="s">
        <v>199</v>
      </c>
      <c r="D72" s="357">
        <f t="shared" si="13"/>
        <v>504364.17000000016</v>
      </c>
      <c r="E72" s="593">
        <f t="shared" si="13"/>
        <v>480957.2799999999</v>
      </c>
      <c r="F72" s="357">
        <f t="shared" si="13"/>
        <v>722714.1899999998</v>
      </c>
      <c r="G72" s="357">
        <f t="shared" si="13"/>
        <v>1708035.6400000001</v>
      </c>
    </row>
    <row r="73" spans="1:7" s="4" customFormat="1" ht="13.5" thickBot="1">
      <c r="A73" s="434" t="s">
        <v>54</v>
      </c>
      <c r="B73" s="429" t="s">
        <v>43</v>
      </c>
      <c r="C73" s="59" t="s">
        <v>175</v>
      </c>
      <c r="D73" s="251">
        <v>80757.75</v>
      </c>
      <c r="E73" s="308">
        <v>56136.14</v>
      </c>
      <c r="F73" s="251">
        <v>75305.38</v>
      </c>
      <c r="G73" s="106">
        <f>SUM(D73:F73)</f>
        <v>212199.27000000002</v>
      </c>
    </row>
    <row r="74" spans="1:7" s="4" customFormat="1" ht="13.5" thickBot="1">
      <c r="A74" s="433"/>
      <c r="B74" s="429"/>
      <c r="C74" s="58" t="s">
        <v>1</v>
      </c>
      <c r="D74" s="252">
        <v>255616.02</v>
      </c>
      <c r="E74" s="307">
        <v>295422.99</v>
      </c>
      <c r="F74" s="252">
        <v>324126.2</v>
      </c>
      <c r="G74" s="86">
        <f aca="true" t="shared" si="14" ref="G74:G108">SUM(D74:F74)</f>
        <v>875165.21</v>
      </c>
    </row>
    <row r="75" spans="1:7" s="4" customFormat="1" ht="13.5" thickBot="1">
      <c r="A75" s="433"/>
      <c r="B75" s="429"/>
      <c r="C75" s="58" t="s">
        <v>2</v>
      </c>
      <c r="D75" s="252">
        <v>275201.33</v>
      </c>
      <c r="E75" s="307">
        <v>294527.08</v>
      </c>
      <c r="F75" s="252">
        <v>313807.41</v>
      </c>
      <c r="G75" s="86">
        <f t="shared" si="14"/>
        <v>883535.8200000001</v>
      </c>
    </row>
    <row r="76" spans="1:7" s="4" customFormat="1" ht="13.5" thickBot="1">
      <c r="A76" s="433"/>
      <c r="B76" s="429"/>
      <c r="C76" s="58" t="s">
        <v>4</v>
      </c>
      <c r="D76" s="277">
        <v>285651.63</v>
      </c>
      <c r="E76" s="309">
        <v>129574.31</v>
      </c>
      <c r="F76" s="277">
        <v>342177.42</v>
      </c>
      <c r="G76" s="208">
        <f t="shared" si="14"/>
        <v>757403.36</v>
      </c>
    </row>
    <row r="77" spans="1:7" s="4" customFormat="1" ht="13.5" thickBot="1">
      <c r="A77" s="433"/>
      <c r="B77" s="429"/>
      <c r="C77" s="58" t="s">
        <v>3</v>
      </c>
      <c r="D77" s="252">
        <f>+D75</f>
        <v>275201.33</v>
      </c>
      <c r="E77" s="307">
        <f>E76+E73</f>
        <v>185710.45</v>
      </c>
      <c r="F77" s="252">
        <f>+F75</f>
        <v>313807.41</v>
      </c>
      <c r="G77" s="280">
        <f t="shared" si="14"/>
        <v>774719.19</v>
      </c>
    </row>
    <row r="78" spans="1:7" s="3" customFormat="1" ht="13.5" thickBot="1">
      <c r="A78" s="433"/>
      <c r="B78" s="429"/>
      <c r="C78" s="61" t="s">
        <v>199</v>
      </c>
      <c r="D78" s="75">
        <f>D73+D74-D75</f>
        <v>61172.44</v>
      </c>
      <c r="E78" s="76">
        <f>E73+E74-E75</f>
        <v>57032.04999999999</v>
      </c>
      <c r="F78" s="75">
        <f>F73+F74-F75</f>
        <v>85624.17000000004</v>
      </c>
      <c r="G78" s="72">
        <f>SUM(D78:F78)</f>
        <v>203828.66000000003</v>
      </c>
    </row>
    <row r="79" spans="1:10" s="4" customFormat="1" ht="13.5" thickBot="1">
      <c r="A79" s="433"/>
      <c r="B79" s="429" t="s">
        <v>18</v>
      </c>
      <c r="C79" s="59" t="s">
        <v>175</v>
      </c>
      <c r="D79" s="251">
        <v>16708.93</v>
      </c>
      <c r="E79" s="308">
        <v>11488.65</v>
      </c>
      <c r="F79" s="251">
        <v>15568.67</v>
      </c>
      <c r="G79" s="106">
        <f t="shared" si="14"/>
        <v>43766.25</v>
      </c>
      <c r="J79" s="46"/>
    </row>
    <row r="80" spans="1:10" s="4" customFormat="1" ht="13.5" thickBot="1">
      <c r="A80" s="433"/>
      <c r="B80" s="429"/>
      <c r="C80" s="58" t="s">
        <v>1</v>
      </c>
      <c r="D80" s="252">
        <v>52749.55</v>
      </c>
      <c r="E80" s="307">
        <v>60956.05</v>
      </c>
      <c r="F80" s="252">
        <v>66887.41</v>
      </c>
      <c r="G80" s="86">
        <f t="shared" si="14"/>
        <v>180593.01</v>
      </c>
      <c r="J80" s="45"/>
    </row>
    <row r="81" spans="1:7" s="4" customFormat="1" ht="13.5" thickBot="1">
      <c r="A81" s="433"/>
      <c r="B81" s="429"/>
      <c r="C81" s="58" t="s">
        <v>2</v>
      </c>
      <c r="D81" s="252">
        <v>56828.13</v>
      </c>
      <c r="E81" s="307">
        <v>60781.02</v>
      </c>
      <c r="F81" s="252">
        <v>64782.64</v>
      </c>
      <c r="G81" s="86">
        <f t="shared" si="14"/>
        <v>182391.78999999998</v>
      </c>
    </row>
    <row r="82" spans="1:7" s="4" customFormat="1" ht="13.5" thickBot="1">
      <c r="A82" s="433"/>
      <c r="B82" s="429"/>
      <c r="C82" s="58" t="s">
        <v>4</v>
      </c>
      <c r="D82" s="252">
        <f aca="true" t="shared" si="15" ref="D82:F83">+D80</f>
        <v>52749.55</v>
      </c>
      <c r="E82" s="307">
        <f t="shared" si="15"/>
        <v>60956.05</v>
      </c>
      <c r="F82" s="252">
        <f t="shared" si="15"/>
        <v>66887.41</v>
      </c>
      <c r="G82" s="86">
        <f t="shared" si="14"/>
        <v>180593.01</v>
      </c>
    </row>
    <row r="83" spans="1:7" s="4" customFormat="1" ht="13.5" thickBot="1">
      <c r="A83" s="433"/>
      <c r="B83" s="429"/>
      <c r="C83" s="58" t="s">
        <v>3</v>
      </c>
      <c r="D83" s="252">
        <f t="shared" si="15"/>
        <v>56828.13</v>
      </c>
      <c r="E83" s="307">
        <f>E82+E79</f>
        <v>72444.7</v>
      </c>
      <c r="F83" s="252">
        <f t="shared" si="15"/>
        <v>64782.64</v>
      </c>
      <c r="G83" s="86">
        <f t="shared" si="14"/>
        <v>194055.46999999997</v>
      </c>
    </row>
    <row r="84" spans="1:7" s="3" customFormat="1" ht="13.5" thickBot="1">
      <c r="A84" s="433"/>
      <c r="B84" s="429"/>
      <c r="C84" s="61" t="s">
        <v>199</v>
      </c>
      <c r="D84" s="75">
        <f>D79+D80-D81</f>
        <v>12630.350000000013</v>
      </c>
      <c r="E84" s="76">
        <f>E79+E80-E81</f>
        <v>11663.68</v>
      </c>
      <c r="F84" s="75">
        <f>F79+F80-F81</f>
        <v>17673.440000000002</v>
      </c>
      <c r="G84" s="78">
        <f t="shared" si="14"/>
        <v>41967.470000000016</v>
      </c>
    </row>
    <row r="85" spans="1:7" s="4" customFormat="1" ht="13.5" thickBot="1">
      <c r="A85" s="433"/>
      <c r="B85" s="429" t="s">
        <v>19</v>
      </c>
      <c r="C85" s="59" t="s">
        <v>175</v>
      </c>
      <c r="D85" s="251">
        <v>19677.16</v>
      </c>
      <c r="E85" s="308">
        <v>13303.83</v>
      </c>
      <c r="F85" s="251">
        <v>15666.11</v>
      </c>
      <c r="G85" s="106">
        <f t="shared" si="14"/>
        <v>48647.1</v>
      </c>
    </row>
    <row r="86" spans="1:9" s="4" customFormat="1" ht="13.5" thickBot="1">
      <c r="A86" s="433"/>
      <c r="B86" s="429"/>
      <c r="C86" s="58" t="s">
        <v>1</v>
      </c>
      <c r="D86" s="252">
        <v>61089.26</v>
      </c>
      <c r="E86" s="307">
        <v>67031.51</v>
      </c>
      <c r="F86" s="252">
        <v>52470.69</v>
      </c>
      <c r="G86" s="86">
        <f t="shared" si="14"/>
        <v>180591.46</v>
      </c>
      <c r="I86" s="45"/>
    </row>
    <row r="87" spans="1:10" s="4" customFormat="1" ht="13.5" thickBot="1">
      <c r="A87" s="433"/>
      <c r="B87" s="429"/>
      <c r="C87" s="58" t="s">
        <v>2</v>
      </c>
      <c r="D87" s="252">
        <v>66123</v>
      </c>
      <c r="E87" s="307">
        <v>67213.99</v>
      </c>
      <c r="F87" s="252">
        <v>48441.29</v>
      </c>
      <c r="G87" s="86">
        <f t="shared" si="14"/>
        <v>181778.28</v>
      </c>
      <c r="J87" s="306"/>
    </row>
    <row r="88" spans="1:7" s="4" customFormat="1" ht="13.5" thickBot="1">
      <c r="A88" s="433"/>
      <c r="B88" s="429"/>
      <c r="C88" s="58" t="s">
        <v>4</v>
      </c>
      <c r="D88" s="252">
        <f aca="true" t="shared" si="16" ref="D88:F89">+D86</f>
        <v>61089.26</v>
      </c>
      <c r="E88" s="307">
        <f t="shared" si="16"/>
        <v>67031.51</v>
      </c>
      <c r="F88" s="252">
        <f t="shared" si="16"/>
        <v>52470.69</v>
      </c>
      <c r="G88" s="86">
        <f t="shared" si="14"/>
        <v>180591.46</v>
      </c>
    </row>
    <row r="89" spans="1:7" s="4" customFormat="1" ht="13.5" thickBot="1">
      <c r="A89" s="433"/>
      <c r="B89" s="429"/>
      <c r="C89" s="58" t="s">
        <v>3</v>
      </c>
      <c r="D89" s="252">
        <f t="shared" si="16"/>
        <v>66123</v>
      </c>
      <c r="E89" s="307">
        <f>E88+E85</f>
        <v>80335.34</v>
      </c>
      <c r="F89" s="252">
        <f t="shared" si="16"/>
        <v>48441.29</v>
      </c>
      <c r="G89" s="86">
        <f t="shared" si="14"/>
        <v>194899.63</v>
      </c>
    </row>
    <row r="90" spans="1:7" s="3" customFormat="1" ht="13.5" thickBot="1">
      <c r="A90" s="433"/>
      <c r="B90" s="429"/>
      <c r="C90" s="61" t="s">
        <v>199</v>
      </c>
      <c r="D90" s="75">
        <f>D85+D86-D87</f>
        <v>14643.419999999998</v>
      </c>
      <c r="E90" s="76">
        <f>E85+E86-E87</f>
        <v>13121.349999999991</v>
      </c>
      <c r="F90" s="75">
        <f>F85+F86-F87</f>
        <v>19695.510000000002</v>
      </c>
      <c r="G90" s="72">
        <f>SUM(D90:F90)</f>
        <v>47460.27999999999</v>
      </c>
    </row>
    <row r="91" spans="1:7" s="3" customFormat="1" ht="13.5" customHeight="1" thickBot="1">
      <c r="A91" s="434" t="s">
        <v>142</v>
      </c>
      <c r="B91" s="429" t="s">
        <v>166</v>
      </c>
      <c r="C91" s="59" t="s">
        <v>175</v>
      </c>
      <c r="D91" s="251">
        <f>-10.24+1091.33</f>
        <v>1081.09</v>
      </c>
      <c r="E91" s="308">
        <f>-8.06+806.76</f>
        <v>798.7</v>
      </c>
      <c r="F91" s="275">
        <f>39.78+1085.62</f>
        <v>1125.3999999999999</v>
      </c>
      <c r="G91" s="85">
        <f aca="true" t="shared" si="17" ref="G91:G96">SUM(D91:F91)</f>
        <v>3005.1899999999996</v>
      </c>
    </row>
    <row r="92" spans="1:7" s="3" customFormat="1" ht="13.5" customHeight="1" thickBot="1">
      <c r="A92" s="433"/>
      <c r="B92" s="429"/>
      <c r="C92" s="58" t="s">
        <v>1</v>
      </c>
      <c r="D92" s="252">
        <f>104.37+3335.98</f>
        <v>3440.35</v>
      </c>
      <c r="E92" s="307">
        <f>16.13+3855.06</f>
        <v>3871.19</v>
      </c>
      <c r="F92" s="252">
        <f>-32.52+4230.15</f>
        <v>4197.629999999999</v>
      </c>
      <c r="G92" s="86">
        <f t="shared" si="17"/>
        <v>11509.169999999998</v>
      </c>
    </row>
    <row r="93" spans="1:7" s="3" customFormat="1" ht="13.5" customHeight="1" thickBot="1">
      <c r="A93" s="433"/>
      <c r="B93" s="429"/>
      <c r="C93" s="58" t="s">
        <v>2</v>
      </c>
      <c r="D93" s="252">
        <f>94.13+3619.87</f>
        <v>3714</v>
      </c>
      <c r="E93" s="307">
        <f>8.07+3899.87</f>
        <v>3907.94</v>
      </c>
      <c r="F93" s="252">
        <f>7.26+4111.68</f>
        <v>4118.9400000000005</v>
      </c>
      <c r="G93" s="87">
        <f t="shared" si="17"/>
        <v>11740.880000000001</v>
      </c>
    </row>
    <row r="94" spans="1:7" s="3" customFormat="1" ht="13.5" customHeight="1" thickBot="1">
      <c r="A94" s="433"/>
      <c r="B94" s="429"/>
      <c r="C94" s="58" t="s">
        <v>4</v>
      </c>
      <c r="D94" s="252">
        <f aca="true" t="shared" si="18" ref="D94:F95">+D92</f>
        <v>3440.35</v>
      </c>
      <c r="E94" s="307">
        <f t="shared" si="18"/>
        <v>3871.19</v>
      </c>
      <c r="F94" s="252">
        <f t="shared" si="18"/>
        <v>4197.629999999999</v>
      </c>
      <c r="G94" s="86">
        <f t="shared" si="17"/>
        <v>11509.169999999998</v>
      </c>
    </row>
    <row r="95" spans="1:7" s="3" customFormat="1" ht="13.5" customHeight="1" thickBot="1">
      <c r="A95" s="433"/>
      <c r="B95" s="429"/>
      <c r="C95" s="58" t="s">
        <v>3</v>
      </c>
      <c r="D95" s="252">
        <f t="shared" si="18"/>
        <v>3714</v>
      </c>
      <c r="E95" s="307">
        <f t="shared" si="18"/>
        <v>3907.94</v>
      </c>
      <c r="F95" s="252">
        <f t="shared" si="18"/>
        <v>4118.9400000000005</v>
      </c>
      <c r="G95" s="86">
        <f t="shared" si="17"/>
        <v>11740.880000000001</v>
      </c>
    </row>
    <row r="96" spans="1:7" s="3" customFormat="1" ht="13.5" customHeight="1" thickBot="1">
      <c r="A96" s="433"/>
      <c r="B96" s="429"/>
      <c r="C96" s="61" t="s">
        <v>199</v>
      </c>
      <c r="D96" s="75">
        <f>D91+D92-D93</f>
        <v>807.4399999999996</v>
      </c>
      <c r="E96" s="76">
        <f>E91+E92-E93</f>
        <v>761.9500000000003</v>
      </c>
      <c r="F96" s="75">
        <f>F91+F92-F93</f>
        <v>1204.0899999999983</v>
      </c>
      <c r="G96" s="72">
        <f t="shared" si="17"/>
        <v>2773.479999999998</v>
      </c>
    </row>
    <row r="97" spans="1:7" s="3" customFormat="1" ht="13.5" customHeight="1" thickBot="1">
      <c r="A97" s="433"/>
      <c r="B97" s="429" t="s">
        <v>150</v>
      </c>
      <c r="C97" s="59" t="s">
        <v>175</v>
      </c>
      <c r="D97" s="251">
        <v>1091.32</v>
      </c>
      <c r="E97" s="308">
        <v>806.43</v>
      </c>
      <c r="F97" s="275">
        <v>1085.59</v>
      </c>
      <c r="G97" s="106">
        <f aca="true" t="shared" si="19" ref="G97:G102">SUM(D97:F97)</f>
        <v>2983.34</v>
      </c>
    </row>
    <row r="98" spans="1:7" s="3" customFormat="1" ht="13.5" customHeight="1" thickBot="1">
      <c r="A98" s="433"/>
      <c r="B98" s="429"/>
      <c r="C98" s="58" t="s">
        <v>1</v>
      </c>
      <c r="D98" s="252">
        <v>3335.98</v>
      </c>
      <c r="E98" s="307">
        <v>3855.06</v>
      </c>
      <c r="F98" s="252">
        <v>4230.15</v>
      </c>
      <c r="G98" s="86">
        <f t="shared" si="19"/>
        <v>11421.189999999999</v>
      </c>
    </row>
    <row r="99" spans="1:7" s="3" customFormat="1" ht="13.5" customHeight="1" thickBot="1">
      <c r="A99" s="433"/>
      <c r="B99" s="429"/>
      <c r="C99" s="58" t="s">
        <v>2</v>
      </c>
      <c r="D99" s="252">
        <v>3619.86</v>
      </c>
      <c r="E99" s="307">
        <v>3899.79</v>
      </c>
      <c r="F99" s="252">
        <v>4111.63</v>
      </c>
      <c r="G99" s="86">
        <f t="shared" si="19"/>
        <v>11631.279999999999</v>
      </c>
    </row>
    <row r="100" spans="1:7" s="3" customFormat="1" ht="13.5" customHeight="1" thickBot="1">
      <c r="A100" s="433"/>
      <c r="B100" s="429"/>
      <c r="C100" s="58" t="s">
        <v>4</v>
      </c>
      <c r="D100" s="252">
        <f aca="true" t="shared" si="20" ref="D100:F101">+D98</f>
        <v>3335.98</v>
      </c>
      <c r="E100" s="307">
        <f t="shared" si="20"/>
        <v>3855.06</v>
      </c>
      <c r="F100" s="252">
        <f t="shared" si="20"/>
        <v>4230.15</v>
      </c>
      <c r="G100" s="86">
        <f t="shared" si="19"/>
        <v>11421.189999999999</v>
      </c>
    </row>
    <row r="101" spans="1:7" s="3" customFormat="1" ht="13.5" customHeight="1" thickBot="1">
      <c r="A101" s="433"/>
      <c r="B101" s="429"/>
      <c r="C101" s="58" t="s">
        <v>3</v>
      </c>
      <c r="D101" s="252">
        <f t="shared" si="20"/>
        <v>3619.86</v>
      </c>
      <c r="E101" s="307">
        <f t="shared" si="20"/>
        <v>3899.79</v>
      </c>
      <c r="F101" s="252">
        <f t="shared" si="20"/>
        <v>4111.63</v>
      </c>
      <c r="G101" s="86">
        <f t="shared" si="19"/>
        <v>11631.279999999999</v>
      </c>
    </row>
    <row r="102" spans="1:7" s="3" customFormat="1" ht="13.5" customHeight="1" thickBot="1">
      <c r="A102" s="433"/>
      <c r="B102" s="429"/>
      <c r="C102" s="61" t="s">
        <v>199</v>
      </c>
      <c r="D102" s="75">
        <f>D97+D98-D99</f>
        <v>807.44</v>
      </c>
      <c r="E102" s="76">
        <f>E97+E98-E99</f>
        <v>761.6999999999998</v>
      </c>
      <c r="F102" s="75">
        <f>F97+F98-F99</f>
        <v>1204.1099999999997</v>
      </c>
      <c r="G102" s="78">
        <f t="shared" si="19"/>
        <v>2773.2499999999995</v>
      </c>
    </row>
    <row r="103" spans="1:7" s="24" customFormat="1" ht="13.5" customHeight="1" thickBot="1">
      <c r="A103" s="493" t="s">
        <v>111</v>
      </c>
      <c r="B103" s="429" t="s">
        <v>21</v>
      </c>
      <c r="C103" s="59" t="s">
        <v>175</v>
      </c>
      <c r="D103" s="251">
        <v>13786.01</v>
      </c>
      <c r="E103" s="308">
        <v>8805.43</v>
      </c>
      <c r="F103" s="251">
        <v>12398.47</v>
      </c>
      <c r="G103" s="106">
        <f t="shared" si="14"/>
        <v>34989.91</v>
      </c>
    </row>
    <row r="104" spans="1:7" s="24" customFormat="1" ht="13.5" thickBot="1">
      <c r="A104" s="494"/>
      <c r="B104" s="429"/>
      <c r="C104" s="58" t="s">
        <v>1</v>
      </c>
      <c r="D104" s="252">
        <v>38780.28</v>
      </c>
      <c r="E104" s="307">
        <v>44813.59</v>
      </c>
      <c r="F104" s="252">
        <v>49174.22</v>
      </c>
      <c r="G104" s="86">
        <f t="shared" si="14"/>
        <v>132768.09</v>
      </c>
    </row>
    <row r="105" spans="1:7" s="24" customFormat="1" ht="13.5" thickBot="1">
      <c r="A105" s="494"/>
      <c r="B105" s="429"/>
      <c r="C105" s="58" t="s">
        <v>2</v>
      </c>
      <c r="D105" s="252">
        <v>43250.29</v>
      </c>
      <c r="E105" s="307">
        <v>44878.19</v>
      </c>
      <c r="F105" s="252">
        <v>47753.89</v>
      </c>
      <c r="G105" s="86">
        <f t="shared" si="14"/>
        <v>135882.37</v>
      </c>
    </row>
    <row r="106" spans="1:7" s="24" customFormat="1" ht="13.5" thickBot="1">
      <c r="A106" s="494"/>
      <c r="B106" s="429"/>
      <c r="C106" s="58" t="s">
        <v>4</v>
      </c>
      <c r="D106" s="277">
        <v>52829.05</v>
      </c>
      <c r="E106" s="309">
        <v>56498.04</v>
      </c>
      <c r="F106" s="277">
        <v>55865.42</v>
      </c>
      <c r="G106" s="208">
        <f t="shared" si="14"/>
        <v>165192.51</v>
      </c>
    </row>
    <row r="107" spans="1:7" s="24" customFormat="1" ht="13.5" thickBot="1">
      <c r="A107" s="494"/>
      <c r="B107" s="429"/>
      <c r="C107" s="58" t="s">
        <v>3</v>
      </c>
      <c r="D107" s="252">
        <f>+D105</f>
        <v>43250.29</v>
      </c>
      <c r="E107" s="307">
        <f>E106+E103</f>
        <v>65303.47</v>
      </c>
      <c r="F107" s="252">
        <f>+F105</f>
        <v>47753.89</v>
      </c>
      <c r="G107" s="280">
        <f t="shared" si="14"/>
        <v>156307.65000000002</v>
      </c>
    </row>
    <row r="108" spans="1:7" s="3" customFormat="1" ht="13.5" thickBot="1">
      <c r="A108" s="495"/>
      <c r="B108" s="429"/>
      <c r="C108" s="61" t="s">
        <v>199</v>
      </c>
      <c r="D108" s="75">
        <f>D103+D104-D105</f>
        <v>9316</v>
      </c>
      <c r="E108" s="76">
        <f>E103+E104-E105</f>
        <v>8740.829999999994</v>
      </c>
      <c r="F108" s="75">
        <f>F103+F104-F105</f>
        <v>13818.800000000003</v>
      </c>
      <c r="G108" s="72">
        <f t="shared" si="14"/>
        <v>31875.629999999997</v>
      </c>
    </row>
    <row r="109" spans="1:7" s="3" customFormat="1" ht="13.5" thickBot="1">
      <c r="A109" s="493" t="s">
        <v>111</v>
      </c>
      <c r="B109" s="429" t="s">
        <v>149</v>
      </c>
      <c r="C109" s="59" t="s">
        <v>175</v>
      </c>
      <c r="D109" s="251">
        <v>1665.58</v>
      </c>
      <c r="E109" s="308">
        <v>1225.75</v>
      </c>
      <c r="F109" s="251">
        <v>1603.24</v>
      </c>
      <c r="G109" s="106">
        <f aca="true" t="shared" si="21" ref="G109:G120">SUM(D109:F109)</f>
        <v>4494.57</v>
      </c>
    </row>
    <row r="110" spans="1:7" s="3" customFormat="1" ht="13.5" thickBot="1">
      <c r="A110" s="494"/>
      <c r="B110" s="429"/>
      <c r="C110" s="58" t="s">
        <v>1</v>
      </c>
      <c r="D110" s="252">
        <v>5420.94</v>
      </c>
      <c r="E110" s="307">
        <v>6264.39</v>
      </c>
      <c r="F110" s="252">
        <v>6873.92</v>
      </c>
      <c r="G110" s="86">
        <f t="shared" si="21"/>
        <v>18559.25</v>
      </c>
    </row>
    <row r="111" spans="1:7" s="3" customFormat="1" ht="13.5" thickBot="1">
      <c r="A111" s="494"/>
      <c r="B111" s="429"/>
      <c r="C111" s="58" t="s">
        <v>2</v>
      </c>
      <c r="D111" s="252">
        <v>5786.28</v>
      </c>
      <c r="E111" s="307">
        <v>6268.56</v>
      </c>
      <c r="F111" s="252">
        <v>6658.14</v>
      </c>
      <c r="G111" s="86">
        <f t="shared" si="21"/>
        <v>18712.98</v>
      </c>
    </row>
    <row r="112" spans="1:7" s="3" customFormat="1" ht="13.5" thickBot="1">
      <c r="A112" s="494"/>
      <c r="B112" s="429"/>
      <c r="C112" s="58" t="s">
        <v>4</v>
      </c>
      <c r="D112" s="252">
        <f aca="true" t="shared" si="22" ref="D112:F113">+D110</f>
        <v>5420.94</v>
      </c>
      <c r="E112" s="307">
        <f t="shared" si="22"/>
        <v>6264.39</v>
      </c>
      <c r="F112" s="252">
        <f t="shared" si="22"/>
        <v>6873.92</v>
      </c>
      <c r="G112" s="280">
        <f t="shared" si="21"/>
        <v>18559.25</v>
      </c>
    </row>
    <row r="113" spans="1:7" s="3" customFormat="1" ht="13.5" thickBot="1">
      <c r="A113" s="494"/>
      <c r="B113" s="429"/>
      <c r="C113" s="58" t="s">
        <v>3</v>
      </c>
      <c r="D113" s="252">
        <f t="shared" si="22"/>
        <v>5786.28</v>
      </c>
      <c r="E113" s="307">
        <f t="shared" si="22"/>
        <v>6268.56</v>
      </c>
      <c r="F113" s="252">
        <f t="shared" si="22"/>
        <v>6658.14</v>
      </c>
      <c r="G113" s="280">
        <f t="shared" si="21"/>
        <v>18712.98</v>
      </c>
    </row>
    <row r="114" spans="1:7" s="3" customFormat="1" ht="13.5" thickBot="1">
      <c r="A114" s="495"/>
      <c r="B114" s="429"/>
      <c r="C114" s="61" t="s">
        <v>199</v>
      </c>
      <c r="D114" s="75">
        <f>D109+D110-D111</f>
        <v>1300.2399999999998</v>
      </c>
      <c r="E114" s="76">
        <f>E109+E110-E111</f>
        <v>1221.58</v>
      </c>
      <c r="F114" s="75">
        <f>F109+F110-F111</f>
        <v>1819.0199999999995</v>
      </c>
      <c r="G114" s="72">
        <f t="shared" si="21"/>
        <v>4340.839999999999</v>
      </c>
    </row>
    <row r="115" spans="1:7" s="24" customFormat="1" ht="12.75" customHeight="1" thickBot="1">
      <c r="A115" s="434" t="s">
        <v>118</v>
      </c>
      <c r="B115" s="429" t="s">
        <v>41</v>
      </c>
      <c r="C115" s="59" t="s">
        <v>175</v>
      </c>
      <c r="D115" s="251">
        <v>48198.49</v>
      </c>
      <c r="E115" s="308">
        <f>13.53+47429.39</f>
        <v>47442.92</v>
      </c>
      <c r="F115" s="595">
        <f>71206.36-2246.16</f>
        <v>68960.2</v>
      </c>
      <c r="G115" s="85">
        <f t="shared" si="21"/>
        <v>164601.61</v>
      </c>
    </row>
    <row r="116" spans="1:7" s="24" customFormat="1" ht="13.5" thickBot="1">
      <c r="A116" s="433"/>
      <c r="B116" s="429"/>
      <c r="C116" s="58" t="s">
        <v>1</v>
      </c>
      <c r="D116" s="252">
        <v>109901.81</v>
      </c>
      <c r="E116" s="307">
        <f>-13.53+259619.6</f>
        <v>259606.07</v>
      </c>
      <c r="F116" s="252">
        <f>347046.57+2246.16</f>
        <v>349292.73</v>
      </c>
      <c r="G116" s="86">
        <f t="shared" si="21"/>
        <v>718800.61</v>
      </c>
    </row>
    <row r="117" spans="1:7" s="24" customFormat="1" ht="13.5" thickBot="1">
      <c r="A117" s="433"/>
      <c r="B117" s="429"/>
      <c r="C117" s="58" t="s">
        <v>2</v>
      </c>
      <c r="D117" s="252">
        <v>154634.61</v>
      </c>
      <c r="E117" s="307">
        <v>242371.2</v>
      </c>
      <c r="F117" s="252">
        <v>326492.75</v>
      </c>
      <c r="G117" s="86">
        <f t="shared" si="21"/>
        <v>723498.56</v>
      </c>
    </row>
    <row r="118" spans="1:7" s="24" customFormat="1" ht="13.5" thickBot="1">
      <c r="A118" s="433"/>
      <c r="B118" s="429"/>
      <c r="C118" s="58" t="s">
        <v>4</v>
      </c>
      <c r="D118" s="252">
        <f aca="true" t="shared" si="23" ref="D118:F119">+D116</f>
        <v>109901.81</v>
      </c>
      <c r="E118" s="307">
        <f t="shared" si="23"/>
        <v>259606.07</v>
      </c>
      <c r="F118" s="252">
        <f t="shared" si="23"/>
        <v>349292.73</v>
      </c>
      <c r="G118" s="86">
        <f t="shared" si="21"/>
        <v>718800.61</v>
      </c>
    </row>
    <row r="119" spans="1:7" s="24" customFormat="1" ht="13.5" thickBot="1">
      <c r="A119" s="433"/>
      <c r="B119" s="429"/>
      <c r="C119" s="58" t="s">
        <v>3</v>
      </c>
      <c r="D119" s="252">
        <f t="shared" si="23"/>
        <v>154634.61</v>
      </c>
      <c r="E119" s="307">
        <f t="shared" si="23"/>
        <v>242371.2</v>
      </c>
      <c r="F119" s="252">
        <f t="shared" si="23"/>
        <v>326492.75</v>
      </c>
      <c r="G119" s="86">
        <f t="shared" si="21"/>
        <v>723498.56</v>
      </c>
    </row>
    <row r="120" spans="1:7" s="3" customFormat="1" ht="13.5" thickBot="1">
      <c r="A120" s="435"/>
      <c r="B120" s="429"/>
      <c r="C120" s="61" t="s">
        <v>199</v>
      </c>
      <c r="D120" s="75">
        <f>D115+D116-D117</f>
        <v>3465.6900000000023</v>
      </c>
      <c r="E120" s="76">
        <f>E115+E116-E117</f>
        <v>64677.78999999998</v>
      </c>
      <c r="F120" s="75">
        <f>F115+F116-F117</f>
        <v>91760.18</v>
      </c>
      <c r="G120" s="72">
        <f t="shared" si="21"/>
        <v>159903.65999999997</v>
      </c>
    </row>
    <row r="121" spans="1:7" s="24" customFormat="1" ht="12.75">
      <c r="A121" s="393" t="s">
        <v>189</v>
      </c>
      <c r="B121" s="393"/>
      <c r="C121" s="376"/>
      <c r="D121" s="121"/>
      <c r="E121" s="226"/>
      <c r="F121" s="121"/>
      <c r="G121" s="358"/>
    </row>
    <row r="122" spans="1:7" s="24" customFormat="1" ht="13.5" thickBot="1">
      <c r="A122" s="426"/>
      <c r="B122" s="426"/>
      <c r="C122" s="578" t="s">
        <v>175</v>
      </c>
      <c r="D122" s="122">
        <f aca="true" t="shared" si="24" ref="D122:G127">D73+D79+D85+D91+D97+D103+D109+D115</f>
        <v>182966.33</v>
      </c>
      <c r="E122" s="592">
        <f t="shared" si="24"/>
        <v>140007.84999999998</v>
      </c>
      <c r="F122" s="122">
        <f t="shared" si="24"/>
        <v>191713.06</v>
      </c>
      <c r="G122" s="122">
        <f t="shared" si="24"/>
        <v>514687.24000000005</v>
      </c>
    </row>
    <row r="123" spans="1:7" s="24" customFormat="1" ht="13.5" thickBot="1">
      <c r="A123" s="427"/>
      <c r="B123" s="427"/>
      <c r="C123" s="338" t="s">
        <v>1</v>
      </c>
      <c r="D123" s="122">
        <f t="shared" si="24"/>
        <v>530334.19</v>
      </c>
      <c r="E123" s="592">
        <f t="shared" si="24"/>
        <v>741820.8500000001</v>
      </c>
      <c r="F123" s="122">
        <f t="shared" si="24"/>
        <v>857252.95</v>
      </c>
      <c r="G123" s="122">
        <f t="shared" si="24"/>
        <v>2129407.9899999998</v>
      </c>
    </row>
    <row r="124" spans="1:7" s="24" customFormat="1" ht="13.5" thickBot="1">
      <c r="A124" s="427"/>
      <c r="B124" s="427"/>
      <c r="C124" s="338" t="s">
        <v>2</v>
      </c>
      <c r="D124" s="122">
        <f t="shared" si="24"/>
        <v>609157.5</v>
      </c>
      <c r="E124" s="592">
        <f t="shared" si="24"/>
        <v>723847.77</v>
      </c>
      <c r="F124" s="122">
        <f t="shared" si="24"/>
        <v>816166.69</v>
      </c>
      <c r="G124" s="122">
        <f t="shared" si="24"/>
        <v>2149171.96</v>
      </c>
    </row>
    <row r="125" spans="1:7" s="24" customFormat="1" ht="13.5" thickBot="1">
      <c r="A125" s="427"/>
      <c r="B125" s="427"/>
      <c r="C125" s="338" t="s">
        <v>4</v>
      </c>
      <c r="D125" s="122">
        <f t="shared" si="24"/>
        <v>574418.57</v>
      </c>
      <c r="E125" s="592">
        <f t="shared" si="24"/>
        <v>587656.62</v>
      </c>
      <c r="F125" s="122">
        <f t="shared" si="24"/>
        <v>881995.37</v>
      </c>
      <c r="G125" s="122">
        <f t="shared" si="24"/>
        <v>2044070.56</v>
      </c>
    </row>
    <row r="126" spans="1:7" s="24" customFormat="1" ht="13.5" thickBot="1">
      <c r="A126" s="427"/>
      <c r="B126" s="427"/>
      <c r="C126" s="338" t="s">
        <v>3</v>
      </c>
      <c r="D126" s="122">
        <f t="shared" si="24"/>
        <v>609157.5</v>
      </c>
      <c r="E126" s="592">
        <f t="shared" si="24"/>
        <v>660241.45</v>
      </c>
      <c r="F126" s="122">
        <f t="shared" si="24"/>
        <v>816166.69</v>
      </c>
      <c r="G126" s="122">
        <f t="shared" si="24"/>
        <v>2085565.6400000001</v>
      </c>
    </row>
    <row r="127" spans="1:7" s="3" customFormat="1" ht="13.5" thickBot="1">
      <c r="A127" s="427"/>
      <c r="B127" s="427"/>
      <c r="C127" s="346" t="s">
        <v>199</v>
      </c>
      <c r="D127" s="345">
        <f t="shared" si="24"/>
        <v>104143.02000000002</v>
      </c>
      <c r="E127" s="594">
        <f t="shared" si="24"/>
        <v>157980.92999999993</v>
      </c>
      <c r="F127" s="345">
        <f t="shared" si="24"/>
        <v>232799.32000000004</v>
      </c>
      <c r="G127" s="345">
        <f t="shared" si="24"/>
        <v>494923.27</v>
      </c>
    </row>
    <row r="128" spans="1:7" s="24" customFormat="1" ht="13.5" customHeight="1" thickBot="1">
      <c r="A128" s="433" t="s">
        <v>110</v>
      </c>
      <c r="B128" s="432" t="s">
        <v>24</v>
      </c>
      <c r="C128" s="59" t="s">
        <v>175</v>
      </c>
      <c r="D128" s="251">
        <f>-53.44+4010.08</f>
        <v>3956.64</v>
      </c>
      <c r="E128" s="307">
        <f>-142.82+1790.59</f>
        <v>1647.77</v>
      </c>
      <c r="F128" s="596">
        <v>3639.25</v>
      </c>
      <c r="G128" s="85">
        <f aca="true" t="shared" si="25" ref="G128:G133">SUM(D128:F128)</f>
        <v>9243.66</v>
      </c>
    </row>
    <row r="129" spans="1:7" s="24" customFormat="1" ht="13.5" thickBot="1">
      <c r="A129" s="433"/>
      <c r="B129" s="429"/>
      <c r="C129" s="58" t="s">
        <v>1</v>
      </c>
      <c r="D129" s="252">
        <f>53.44+9720</f>
        <v>9773.44</v>
      </c>
      <c r="E129" s="307">
        <f>142.82+8719.27</f>
        <v>8862.09</v>
      </c>
      <c r="F129" s="597">
        <v>12420</v>
      </c>
      <c r="G129" s="86">
        <f t="shared" si="25"/>
        <v>31055.53</v>
      </c>
    </row>
    <row r="130" spans="1:7" s="24" customFormat="1" ht="13.5" thickBot="1">
      <c r="A130" s="433"/>
      <c r="B130" s="429"/>
      <c r="C130" s="58" t="s">
        <v>2</v>
      </c>
      <c r="D130" s="252">
        <v>11809.56</v>
      </c>
      <c r="E130" s="307">
        <v>8088.07</v>
      </c>
      <c r="F130" s="597">
        <v>11747.08</v>
      </c>
      <c r="G130" s="87">
        <f t="shared" si="25"/>
        <v>31644.71</v>
      </c>
    </row>
    <row r="131" spans="1:7" s="24" customFormat="1" ht="13.5" thickBot="1">
      <c r="A131" s="433"/>
      <c r="B131" s="429"/>
      <c r="C131" s="58" t="s">
        <v>4</v>
      </c>
      <c r="D131" s="252">
        <f aca="true" t="shared" si="26" ref="D131:F132">+D129</f>
        <v>9773.44</v>
      </c>
      <c r="E131" s="307">
        <f t="shared" si="26"/>
        <v>8862.09</v>
      </c>
      <c r="F131" s="252">
        <f t="shared" si="26"/>
        <v>12420</v>
      </c>
      <c r="G131" s="86">
        <f t="shared" si="25"/>
        <v>31055.53</v>
      </c>
    </row>
    <row r="132" spans="1:7" s="24" customFormat="1" ht="13.5" thickBot="1">
      <c r="A132" s="433"/>
      <c r="B132" s="429"/>
      <c r="C132" s="58" t="s">
        <v>3</v>
      </c>
      <c r="D132" s="252">
        <f t="shared" si="26"/>
        <v>11809.56</v>
      </c>
      <c r="E132" s="307">
        <f t="shared" si="26"/>
        <v>8088.07</v>
      </c>
      <c r="F132" s="252">
        <f t="shared" si="26"/>
        <v>11747.08</v>
      </c>
      <c r="G132" s="86">
        <f t="shared" si="25"/>
        <v>31644.71</v>
      </c>
    </row>
    <row r="133" spans="1:7" s="3" customFormat="1" ht="13.5" thickBot="1">
      <c r="A133" s="433"/>
      <c r="B133" s="429"/>
      <c r="C133" s="61" t="s">
        <v>199</v>
      </c>
      <c r="D133" s="75">
        <f>D128+D129-D130</f>
        <v>1920.5200000000004</v>
      </c>
      <c r="E133" s="76">
        <f>E128+E129-E130</f>
        <v>2421.790000000001</v>
      </c>
      <c r="F133" s="71">
        <f>F128+F129-F130</f>
        <v>4312.17</v>
      </c>
      <c r="G133" s="72">
        <f t="shared" si="25"/>
        <v>8654.480000000001</v>
      </c>
    </row>
    <row r="134" spans="1:7" s="24" customFormat="1" ht="13.5" thickBot="1">
      <c r="A134" s="428" t="s">
        <v>49</v>
      </c>
      <c r="B134" s="429" t="s">
        <v>27</v>
      </c>
      <c r="C134" s="59" t="s">
        <v>175</v>
      </c>
      <c r="D134" s="251">
        <v>6278.39</v>
      </c>
      <c r="E134" s="308">
        <v>3445.05</v>
      </c>
      <c r="F134" s="595">
        <v>6274.29</v>
      </c>
      <c r="G134" s="85">
        <f aca="true" t="shared" si="27" ref="G134:G139">SUM(D134:F134)</f>
        <v>15997.73</v>
      </c>
    </row>
    <row r="135" spans="1:7" s="24" customFormat="1" ht="13.5" thickBot="1">
      <c r="A135" s="428"/>
      <c r="B135" s="429"/>
      <c r="C135" s="58" t="s">
        <v>1</v>
      </c>
      <c r="D135" s="252">
        <v>19776</v>
      </c>
      <c r="E135" s="307">
        <v>13680</v>
      </c>
      <c r="F135" s="252">
        <v>25200</v>
      </c>
      <c r="G135" s="86">
        <f t="shared" si="27"/>
        <v>58656</v>
      </c>
    </row>
    <row r="136" spans="1:7" s="24" customFormat="1" ht="13.5" thickBot="1">
      <c r="A136" s="428"/>
      <c r="B136" s="429"/>
      <c r="C136" s="58" t="s">
        <v>2</v>
      </c>
      <c r="D136" s="252">
        <v>21026.27</v>
      </c>
      <c r="E136" s="307">
        <v>13860.54</v>
      </c>
      <c r="F136" s="252">
        <v>23817.15</v>
      </c>
      <c r="G136" s="87">
        <f t="shared" si="27"/>
        <v>58703.96</v>
      </c>
    </row>
    <row r="137" spans="1:7" s="24" customFormat="1" ht="13.5" thickBot="1">
      <c r="A137" s="428"/>
      <c r="B137" s="429"/>
      <c r="C137" s="58" t="s">
        <v>4</v>
      </c>
      <c r="D137" s="252">
        <f aca="true" t="shared" si="28" ref="D137:F138">+D135</f>
        <v>19776</v>
      </c>
      <c r="E137" s="307">
        <f t="shared" si="28"/>
        <v>13680</v>
      </c>
      <c r="F137" s="252">
        <f t="shared" si="28"/>
        <v>25200</v>
      </c>
      <c r="G137" s="86">
        <f t="shared" si="27"/>
        <v>58656</v>
      </c>
    </row>
    <row r="138" spans="1:7" s="24" customFormat="1" ht="13.5" thickBot="1">
      <c r="A138" s="428"/>
      <c r="B138" s="429"/>
      <c r="C138" s="58" t="s">
        <v>3</v>
      </c>
      <c r="D138" s="252">
        <f t="shared" si="28"/>
        <v>21026.27</v>
      </c>
      <c r="E138" s="307">
        <f t="shared" si="28"/>
        <v>13860.54</v>
      </c>
      <c r="F138" s="252">
        <f t="shared" si="28"/>
        <v>23817.15</v>
      </c>
      <c r="G138" s="86">
        <f t="shared" si="27"/>
        <v>58703.96</v>
      </c>
    </row>
    <row r="139" spans="1:7" s="3" customFormat="1" ht="13.5" thickBot="1">
      <c r="A139" s="428"/>
      <c r="B139" s="429"/>
      <c r="C139" s="61" t="s">
        <v>199</v>
      </c>
      <c r="D139" s="75">
        <f>D134+D135-D136</f>
        <v>5028.119999999999</v>
      </c>
      <c r="E139" s="76">
        <f>E134+E135-E136</f>
        <v>3264.5099999999984</v>
      </c>
      <c r="F139" s="71">
        <f>F134+F135-F136</f>
        <v>7657.139999999999</v>
      </c>
      <c r="G139" s="72">
        <f t="shared" si="27"/>
        <v>15949.769999999997</v>
      </c>
    </row>
    <row r="140" spans="1:7" s="24" customFormat="1" ht="12.75">
      <c r="A140" s="393" t="s">
        <v>190</v>
      </c>
      <c r="B140" s="393"/>
      <c r="C140" s="376"/>
      <c r="D140" s="121"/>
      <c r="E140" s="226"/>
      <c r="F140" s="121"/>
      <c r="G140" s="358"/>
    </row>
    <row r="141" spans="1:7" s="24" customFormat="1" ht="13.5" thickBot="1">
      <c r="A141" s="426"/>
      <c r="B141" s="426"/>
      <c r="C141" s="578" t="s">
        <v>175</v>
      </c>
      <c r="D141" s="122">
        <f aca="true" t="shared" si="29" ref="D141:G146">D128+D134</f>
        <v>10235.03</v>
      </c>
      <c r="E141" s="592">
        <f t="shared" si="29"/>
        <v>5092.82</v>
      </c>
      <c r="F141" s="122">
        <f t="shared" si="29"/>
        <v>9913.54</v>
      </c>
      <c r="G141" s="122">
        <f t="shared" si="29"/>
        <v>25241.39</v>
      </c>
    </row>
    <row r="142" spans="1:7" s="24" customFormat="1" ht="13.5" thickBot="1">
      <c r="A142" s="427"/>
      <c r="B142" s="427"/>
      <c r="C142" s="338" t="s">
        <v>1</v>
      </c>
      <c r="D142" s="122">
        <f t="shared" si="29"/>
        <v>29549.440000000002</v>
      </c>
      <c r="E142" s="592">
        <f t="shared" si="29"/>
        <v>22542.09</v>
      </c>
      <c r="F142" s="122">
        <f t="shared" si="29"/>
        <v>37620</v>
      </c>
      <c r="G142" s="122">
        <f t="shared" si="29"/>
        <v>89711.53</v>
      </c>
    </row>
    <row r="143" spans="1:8" s="24" customFormat="1" ht="13.5" thickBot="1">
      <c r="A143" s="427"/>
      <c r="B143" s="427"/>
      <c r="C143" s="338" t="s">
        <v>2</v>
      </c>
      <c r="D143" s="122">
        <f t="shared" si="29"/>
        <v>32835.83</v>
      </c>
      <c r="E143" s="592">
        <f t="shared" si="29"/>
        <v>21948.61</v>
      </c>
      <c r="F143" s="122">
        <f t="shared" si="29"/>
        <v>35564.23</v>
      </c>
      <c r="G143" s="122">
        <f t="shared" si="29"/>
        <v>90348.67</v>
      </c>
      <c r="H143" s="28"/>
    </row>
    <row r="144" spans="1:7" s="24" customFormat="1" ht="13.5" thickBot="1">
      <c r="A144" s="427"/>
      <c r="B144" s="427"/>
      <c r="C144" s="338" t="s">
        <v>4</v>
      </c>
      <c r="D144" s="122">
        <f t="shared" si="29"/>
        <v>29549.440000000002</v>
      </c>
      <c r="E144" s="592">
        <f t="shared" si="29"/>
        <v>22542.09</v>
      </c>
      <c r="F144" s="122">
        <f t="shared" si="29"/>
        <v>37620</v>
      </c>
      <c r="G144" s="122">
        <f t="shared" si="29"/>
        <v>89711.53</v>
      </c>
    </row>
    <row r="145" spans="1:7" s="24" customFormat="1" ht="13.5" thickBot="1">
      <c r="A145" s="427"/>
      <c r="B145" s="427"/>
      <c r="C145" s="338" t="s">
        <v>3</v>
      </c>
      <c r="D145" s="122">
        <f t="shared" si="29"/>
        <v>32835.83</v>
      </c>
      <c r="E145" s="592">
        <f t="shared" si="29"/>
        <v>21948.61</v>
      </c>
      <c r="F145" s="122">
        <f t="shared" si="29"/>
        <v>35564.23</v>
      </c>
      <c r="G145" s="122">
        <f t="shared" si="29"/>
        <v>90348.67</v>
      </c>
    </row>
    <row r="146" spans="1:7" s="3" customFormat="1" ht="13.5" thickBot="1">
      <c r="A146" s="427"/>
      <c r="B146" s="427"/>
      <c r="C146" s="346" t="s">
        <v>199</v>
      </c>
      <c r="D146" s="345">
        <f t="shared" si="29"/>
        <v>6948.639999999999</v>
      </c>
      <c r="E146" s="593">
        <f t="shared" si="29"/>
        <v>5686.299999999999</v>
      </c>
      <c r="F146" s="345">
        <f t="shared" si="29"/>
        <v>11969.31</v>
      </c>
      <c r="G146" s="345">
        <f t="shared" si="29"/>
        <v>24604.25</v>
      </c>
    </row>
    <row r="147" spans="1:7" s="24" customFormat="1" ht="12.75">
      <c r="A147" s="393" t="s">
        <v>192</v>
      </c>
      <c r="B147" s="393"/>
      <c r="C147" s="376"/>
      <c r="D147" s="121"/>
      <c r="E147" s="226"/>
      <c r="F147" s="121"/>
      <c r="G147" s="358"/>
    </row>
    <row r="148" spans="1:7" s="24" customFormat="1" ht="13.5" thickBot="1">
      <c r="A148" s="426"/>
      <c r="B148" s="426"/>
      <c r="C148" s="578" t="s">
        <v>175</v>
      </c>
      <c r="D148" s="122">
        <f aca="true" t="shared" si="30" ref="D148:G153">D67+D122+D141</f>
        <v>695621.6100000001</v>
      </c>
      <c r="E148" s="592">
        <f t="shared" si="30"/>
        <v>571972.8899999999</v>
      </c>
      <c r="F148" s="122">
        <f t="shared" si="30"/>
        <v>783638.9299999999</v>
      </c>
      <c r="G148" s="122">
        <f t="shared" si="30"/>
        <v>2051233.4299999997</v>
      </c>
    </row>
    <row r="149" spans="1:7" s="24" customFormat="1" ht="13.5" thickBot="1">
      <c r="A149" s="427"/>
      <c r="B149" s="427"/>
      <c r="C149" s="338" t="s">
        <v>1</v>
      </c>
      <c r="D149" s="122">
        <f t="shared" si="30"/>
        <v>2336007.9499999997</v>
      </c>
      <c r="E149" s="592">
        <f t="shared" si="30"/>
        <v>2634798.12</v>
      </c>
      <c r="F149" s="122">
        <f t="shared" si="30"/>
        <v>3221349.2300000004</v>
      </c>
      <c r="G149" s="122">
        <f t="shared" si="30"/>
        <v>8192155.3</v>
      </c>
    </row>
    <row r="150" spans="1:7" s="24" customFormat="1" ht="13.5" thickBot="1">
      <c r="A150" s="427"/>
      <c r="B150" s="427"/>
      <c r="C150" s="338" t="s">
        <v>2</v>
      </c>
      <c r="D150" s="122">
        <f t="shared" si="30"/>
        <v>2416173.73</v>
      </c>
      <c r="E150" s="592">
        <f t="shared" si="30"/>
        <v>2562146.4999999995</v>
      </c>
      <c r="F150" s="122">
        <f t="shared" si="30"/>
        <v>3037505.34</v>
      </c>
      <c r="G150" s="122">
        <f t="shared" si="30"/>
        <v>8015825.569999999</v>
      </c>
    </row>
    <row r="151" spans="1:7" s="24" customFormat="1" ht="13.5" thickBot="1">
      <c r="A151" s="427"/>
      <c r="B151" s="427"/>
      <c r="C151" s="338" t="s">
        <v>4</v>
      </c>
      <c r="D151" s="122">
        <f t="shared" si="30"/>
        <v>2380092.33</v>
      </c>
      <c r="E151" s="592">
        <f t="shared" si="30"/>
        <v>2480633.8899999997</v>
      </c>
      <c r="F151" s="122">
        <f t="shared" si="30"/>
        <v>3246091.6500000004</v>
      </c>
      <c r="G151" s="122">
        <f t="shared" si="30"/>
        <v>8106817.87</v>
      </c>
    </row>
    <row r="152" spans="1:7" s="24" customFormat="1" ht="13.5" thickBot="1">
      <c r="A152" s="427"/>
      <c r="B152" s="427"/>
      <c r="C152" s="338" t="s">
        <v>3</v>
      </c>
      <c r="D152" s="122">
        <f t="shared" si="30"/>
        <v>2416173.73</v>
      </c>
      <c r="E152" s="592">
        <f t="shared" si="30"/>
        <v>2562146.4999999995</v>
      </c>
      <c r="F152" s="122">
        <f t="shared" si="30"/>
        <v>3037505.34</v>
      </c>
      <c r="G152" s="122">
        <f t="shared" si="30"/>
        <v>8015825.57</v>
      </c>
    </row>
    <row r="153" spans="1:7" s="3" customFormat="1" ht="13.5" thickBot="1">
      <c r="A153" s="427"/>
      <c r="B153" s="427"/>
      <c r="C153" s="346" t="s">
        <v>199</v>
      </c>
      <c r="D153" s="345">
        <f t="shared" si="30"/>
        <v>615455.8300000002</v>
      </c>
      <c r="E153" s="593">
        <f t="shared" si="30"/>
        <v>644624.5099999999</v>
      </c>
      <c r="F153" s="345">
        <f t="shared" si="30"/>
        <v>967482.82</v>
      </c>
      <c r="G153" s="345">
        <f t="shared" si="30"/>
        <v>2227563.16</v>
      </c>
    </row>
    <row r="154" spans="1:3" ht="12.75">
      <c r="A154" s="490"/>
      <c r="B154" s="490"/>
      <c r="C154" s="491"/>
    </row>
  </sheetData>
  <sheetProtection/>
  <mergeCells count="47">
    <mergeCell ref="A121:C121"/>
    <mergeCell ref="A109:A114"/>
    <mergeCell ref="A1:G1"/>
    <mergeCell ref="A2:G2"/>
    <mergeCell ref="B60:B65"/>
    <mergeCell ref="B103:B108"/>
    <mergeCell ref="G3:G4"/>
    <mergeCell ref="A115:A120"/>
    <mergeCell ref="B109:B114"/>
    <mergeCell ref="B91:B96"/>
    <mergeCell ref="A141:B146"/>
    <mergeCell ref="A122:B127"/>
    <mergeCell ref="A140:C140"/>
    <mergeCell ref="A148:B153"/>
    <mergeCell ref="A134:A139"/>
    <mergeCell ref="A147:C147"/>
    <mergeCell ref="B128:B133"/>
    <mergeCell ref="A154:C154"/>
    <mergeCell ref="A91:A102"/>
    <mergeCell ref="B134:B139"/>
    <mergeCell ref="A60:A65"/>
    <mergeCell ref="A128:A133"/>
    <mergeCell ref="B97:B102"/>
    <mergeCell ref="B85:B90"/>
    <mergeCell ref="A66:C66"/>
    <mergeCell ref="A103:A108"/>
    <mergeCell ref="B115:B120"/>
    <mergeCell ref="C3:C4"/>
    <mergeCell ref="A73:A90"/>
    <mergeCell ref="B79:B84"/>
    <mergeCell ref="B73:B78"/>
    <mergeCell ref="B42:B47"/>
    <mergeCell ref="B48:B53"/>
    <mergeCell ref="A3:B5"/>
    <mergeCell ref="B24:B29"/>
    <mergeCell ref="A67:B72"/>
    <mergeCell ref="B18:B23"/>
    <mergeCell ref="D3:F3"/>
    <mergeCell ref="B30:B35"/>
    <mergeCell ref="A18:A23"/>
    <mergeCell ref="A48:A59"/>
    <mergeCell ref="B54:B59"/>
    <mergeCell ref="A24:A47"/>
    <mergeCell ref="B36:B41"/>
    <mergeCell ref="A6:A17"/>
    <mergeCell ref="B6:B11"/>
    <mergeCell ref="B12:B17"/>
  </mergeCells>
  <printOptions/>
  <pageMargins left="0.4724409448818898" right="0.1968503937007874" top="0.15748031496062992" bottom="0.1968503937007874" header="0" footer="0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9"/>
  <sheetViews>
    <sheetView zoomScalePageLayoutView="0" workbookViewId="0" topLeftCell="A1">
      <pane xSplit="3" ySplit="5" topLeftCell="D3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48" sqref="H348"/>
    </sheetView>
  </sheetViews>
  <sheetFormatPr defaultColWidth="9.00390625" defaultRowHeight="12.75"/>
  <cols>
    <col min="1" max="1" width="6.875" style="7" customWidth="1"/>
    <col min="2" max="2" width="7.125" style="7" customWidth="1"/>
    <col min="3" max="3" width="22.75390625" style="27" customWidth="1"/>
    <col min="4" max="4" width="11.625" style="27" customWidth="1"/>
    <col min="5" max="5" width="10.25390625" style="27" customWidth="1"/>
    <col min="6" max="6" width="10.00390625" style="27" customWidth="1"/>
    <col min="7" max="7" width="12.125" style="27" customWidth="1"/>
    <col min="8" max="8" width="11.75390625" style="27" customWidth="1"/>
    <col min="9" max="9" width="11.625" style="27" customWidth="1"/>
    <col min="10" max="10" width="12.00390625" style="27" customWidth="1"/>
    <col min="11" max="11" width="12.25390625" style="27" customWidth="1"/>
    <col min="12" max="12" width="12.125" style="27" customWidth="1"/>
    <col min="13" max="13" width="11.625" style="27" customWidth="1"/>
    <col min="14" max="14" width="13.625" style="4" customWidth="1"/>
    <col min="15" max="16384" width="9.125" style="27" customWidth="1"/>
  </cols>
  <sheetData>
    <row r="1" spans="1:14" s="10" customFormat="1" ht="15.75">
      <c r="A1" s="425" t="s">
        <v>198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s="10" customFormat="1" ht="16.5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s="24" customFormat="1" ht="12.75" customHeight="1">
      <c r="A3" s="480" t="s">
        <v>8</v>
      </c>
      <c r="B3" s="415"/>
      <c r="C3" s="413" t="s">
        <v>183</v>
      </c>
      <c r="D3" s="502" t="s">
        <v>0</v>
      </c>
      <c r="E3" s="502"/>
      <c r="F3" s="502"/>
      <c r="G3" s="502"/>
      <c r="H3" s="502"/>
      <c r="I3" s="502"/>
      <c r="J3" s="502"/>
      <c r="K3" s="502"/>
      <c r="L3" s="502"/>
      <c r="M3" s="502"/>
      <c r="N3" s="478" t="s">
        <v>48</v>
      </c>
    </row>
    <row r="4" spans="1:14" s="25" customFormat="1" ht="41.25" customHeight="1" thickBot="1">
      <c r="A4" s="482"/>
      <c r="B4" s="417"/>
      <c r="C4" s="414"/>
      <c r="D4" s="332" t="s">
        <v>70</v>
      </c>
      <c r="E4" s="332" t="s">
        <v>71</v>
      </c>
      <c r="F4" s="332" t="s">
        <v>72</v>
      </c>
      <c r="G4" s="332" t="s">
        <v>121</v>
      </c>
      <c r="H4" s="332" t="s">
        <v>73</v>
      </c>
      <c r="I4" s="332" t="s">
        <v>74</v>
      </c>
      <c r="J4" s="332" t="s">
        <v>75</v>
      </c>
      <c r="K4" s="332" t="s">
        <v>76</v>
      </c>
      <c r="L4" s="332" t="s">
        <v>77</v>
      </c>
      <c r="M4" s="332" t="s">
        <v>78</v>
      </c>
      <c r="N4" s="501"/>
    </row>
    <row r="5" spans="1:14" s="24" customFormat="1" ht="13.5" customHeight="1" thickBot="1">
      <c r="A5" s="484"/>
      <c r="B5" s="500"/>
      <c r="C5" s="198" t="s">
        <v>9</v>
      </c>
      <c r="D5" s="199">
        <v>1</v>
      </c>
      <c r="E5" s="199">
        <v>2</v>
      </c>
      <c r="F5" s="199">
        <v>3</v>
      </c>
      <c r="G5" s="199">
        <v>4</v>
      </c>
      <c r="H5" s="199">
        <v>5</v>
      </c>
      <c r="I5" s="199">
        <v>6</v>
      </c>
      <c r="J5" s="199">
        <v>7</v>
      </c>
      <c r="K5" s="199">
        <v>8</v>
      </c>
      <c r="L5" s="199">
        <v>9</v>
      </c>
      <c r="M5" s="199">
        <v>10</v>
      </c>
      <c r="N5" s="200">
        <v>11</v>
      </c>
    </row>
    <row r="6" spans="1:14" s="24" customFormat="1" ht="12.75">
      <c r="A6" s="498" t="s">
        <v>5</v>
      </c>
      <c r="B6" s="475" t="s">
        <v>6</v>
      </c>
      <c r="C6" s="135" t="s">
        <v>175</v>
      </c>
      <c r="D6" s="68">
        <v>19037.8</v>
      </c>
      <c r="E6" s="68">
        <v>41151.42</v>
      </c>
      <c r="F6" s="68">
        <v>717.68</v>
      </c>
      <c r="G6" s="68">
        <v>205680.45</v>
      </c>
      <c r="H6" s="68">
        <v>130843.96</v>
      </c>
      <c r="I6" s="68">
        <v>188892.52</v>
      </c>
      <c r="J6" s="154">
        <v>96965.8</v>
      </c>
      <c r="K6" s="196">
        <v>129794.13</v>
      </c>
      <c r="L6" s="196">
        <v>152773.87</v>
      </c>
      <c r="M6" s="68">
        <v>43441.5</v>
      </c>
      <c r="N6" s="142">
        <f>M6+L6+K6+J6+I6+H6+G6+F6+E6+D6</f>
        <v>1009299.1300000001</v>
      </c>
    </row>
    <row r="7" spans="1:14" s="24" customFormat="1" ht="12.75">
      <c r="A7" s="499"/>
      <c r="B7" s="471"/>
      <c r="C7" s="128" t="s">
        <v>1</v>
      </c>
      <c r="D7" s="69">
        <v>144587.23</v>
      </c>
      <c r="E7" s="69">
        <v>44339.34</v>
      </c>
      <c r="F7" s="69">
        <v>21923.45</v>
      </c>
      <c r="G7" s="69">
        <v>633932.64</v>
      </c>
      <c r="H7" s="69">
        <v>486776.41</v>
      </c>
      <c r="I7" s="69">
        <v>552487.02</v>
      </c>
      <c r="J7" s="155">
        <v>494452.64</v>
      </c>
      <c r="K7" s="165">
        <v>583792.06</v>
      </c>
      <c r="L7" s="165">
        <v>413714.16</v>
      </c>
      <c r="M7" s="69">
        <v>129847.85</v>
      </c>
      <c r="N7" s="139">
        <f aca="true" t="shared" si="0" ref="N7:N64">M7+L7+K7+J7+I7+H7+G7+F7+E7+D7</f>
        <v>3505852.8000000003</v>
      </c>
    </row>
    <row r="8" spans="1:14" s="24" customFormat="1" ht="12.75">
      <c r="A8" s="499"/>
      <c r="B8" s="471"/>
      <c r="C8" s="128" t="s">
        <v>2</v>
      </c>
      <c r="D8" s="69">
        <v>136320.08</v>
      </c>
      <c r="E8" s="69">
        <v>35705.37</v>
      </c>
      <c r="F8" s="69">
        <v>22299.37</v>
      </c>
      <c r="G8" s="69">
        <v>672607.17</v>
      </c>
      <c r="H8" s="69">
        <v>505578.59</v>
      </c>
      <c r="I8" s="69">
        <v>549445.56</v>
      </c>
      <c r="J8" s="155">
        <v>473540.65</v>
      </c>
      <c r="K8" s="165">
        <v>574101.62</v>
      </c>
      <c r="L8" s="165">
        <v>409054.13</v>
      </c>
      <c r="M8" s="69">
        <v>109983.42</v>
      </c>
      <c r="N8" s="139">
        <f t="shared" si="0"/>
        <v>3488635.96</v>
      </c>
    </row>
    <row r="9" spans="1:14" s="24" customFormat="1" ht="12.75">
      <c r="A9" s="499"/>
      <c r="B9" s="471"/>
      <c r="C9" s="128" t="s">
        <v>4</v>
      </c>
      <c r="D9" s="69">
        <f>+D7</f>
        <v>144587.23</v>
      </c>
      <c r="E9" s="69">
        <f aca="true" t="shared" si="1" ref="E9:M9">+E7</f>
        <v>44339.34</v>
      </c>
      <c r="F9" s="69">
        <f t="shared" si="1"/>
        <v>21923.45</v>
      </c>
      <c r="G9" s="69">
        <f t="shared" si="1"/>
        <v>633932.64</v>
      </c>
      <c r="H9" s="69">
        <f t="shared" si="1"/>
        <v>486776.41</v>
      </c>
      <c r="I9" s="69">
        <f t="shared" si="1"/>
        <v>552487.02</v>
      </c>
      <c r="J9" s="69">
        <f t="shared" si="1"/>
        <v>494452.64</v>
      </c>
      <c r="K9" s="69">
        <f t="shared" si="1"/>
        <v>583792.06</v>
      </c>
      <c r="L9" s="69">
        <f t="shared" si="1"/>
        <v>413714.16</v>
      </c>
      <c r="M9" s="69">
        <f t="shared" si="1"/>
        <v>129847.85</v>
      </c>
      <c r="N9" s="139">
        <f t="shared" si="0"/>
        <v>3505852.8000000003</v>
      </c>
    </row>
    <row r="10" spans="1:14" s="24" customFormat="1" ht="12.75">
      <c r="A10" s="499"/>
      <c r="B10" s="471"/>
      <c r="C10" s="128" t="s">
        <v>3</v>
      </c>
      <c r="D10" s="133">
        <f>+D8</f>
        <v>136320.08</v>
      </c>
      <c r="E10" s="133">
        <f aca="true" t="shared" si="2" ref="E10:M10">+E8</f>
        <v>35705.37</v>
      </c>
      <c r="F10" s="133">
        <f>F9+F6</f>
        <v>22641.13</v>
      </c>
      <c r="G10" s="133">
        <f t="shared" si="2"/>
        <v>672607.17</v>
      </c>
      <c r="H10" s="133">
        <f t="shared" si="2"/>
        <v>505578.59</v>
      </c>
      <c r="I10" s="133">
        <f t="shared" si="2"/>
        <v>549445.56</v>
      </c>
      <c r="J10" s="133">
        <f t="shared" si="2"/>
        <v>473540.65</v>
      </c>
      <c r="K10" s="133">
        <f t="shared" si="2"/>
        <v>574101.62</v>
      </c>
      <c r="L10" s="133">
        <f t="shared" si="2"/>
        <v>409054.13</v>
      </c>
      <c r="M10" s="133">
        <f t="shared" si="2"/>
        <v>109983.42</v>
      </c>
      <c r="N10" s="139">
        <f t="shared" si="0"/>
        <v>3488977.7199999997</v>
      </c>
    </row>
    <row r="11" spans="1:14" s="3" customFormat="1" ht="13.5" thickBot="1">
      <c r="A11" s="499"/>
      <c r="B11" s="472"/>
      <c r="C11" s="140" t="s">
        <v>199</v>
      </c>
      <c r="D11" s="70">
        <f>D6+D7-D8</f>
        <v>27304.95000000001</v>
      </c>
      <c r="E11" s="70">
        <f aca="true" t="shared" si="3" ref="E11:M11">E6+E7-E8</f>
        <v>49785.38999999999</v>
      </c>
      <c r="F11" s="70">
        <f t="shared" si="3"/>
        <v>341.76000000000204</v>
      </c>
      <c r="G11" s="70">
        <f t="shared" si="3"/>
        <v>167005.92000000004</v>
      </c>
      <c r="H11" s="70">
        <f t="shared" si="3"/>
        <v>112041.77999999997</v>
      </c>
      <c r="I11" s="70">
        <f t="shared" si="3"/>
        <v>191933.97999999998</v>
      </c>
      <c r="J11" s="70">
        <f t="shared" si="3"/>
        <v>117877.79000000004</v>
      </c>
      <c r="K11" s="70">
        <f t="shared" si="3"/>
        <v>139484.57000000007</v>
      </c>
      <c r="L11" s="70">
        <f t="shared" si="3"/>
        <v>157433.90000000002</v>
      </c>
      <c r="M11" s="70">
        <f t="shared" si="3"/>
        <v>63305.93000000001</v>
      </c>
      <c r="N11" s="141">
        <f t="shared" si="0"/>
        <v>1026515.9700000002</v>
      </c>
    </row>
    <row r="12" spans="1:14" s="24" customFormat="1" ht="12.75">
      <c r="A12" s="499"/>
      <c r="B12" s="470" t="s">
        <v>7</v>
      </c>
      <c r="C12" s="136" t="s">
        <v>175</v>
      </c>
      <c r="D12" s="137">
        <v>10069.25</v>
      </c>
      <c r="E12" s="137">
        <v>41100.57</v>
      </c>
      <c r="F12" s="137">
        <v>393.9</v>
      </c>
      <c r="G12" s="137">
        <v>162157.04</v>
      </c>
      <c r="H12" s="137">
        <v>92714.93</v>
      </c>
      <c r="I12" s="137">
        <v>145804.97</v>
      </c>
      <c r="J12" s="168">
        <v>62437.68</v>
      </c>
      <c r="K12" s="137">
        <v>101009.71</v>
      </c>
      <c r="L12" s="137">
        <v>138023.14</v>
      </c>
      <c r="M12" s="137">
        <v>38276.06</v>
      </c>
      <c r="N12" s="138">
        <f t="shared" si="0"/>
        <v>791987.25</v>
      </c>
    </row>
    <row r="13" spans="1:14" s="24" customFormat="1" ht="12.75">
      <c r="A13" s="499"/>
      <c r="B13" s="471"/>
      <c r="C13" s="128" t="s">
        <v>1</v>
      </c>
      <c r="D13" s="69">
        <v>120402.01</v>
      </c>
      <c r="E13" s="69">
        <v>41767.03</v>
      </c>
      <c r="F13" s="69">
        <v>18191.33</v>
      </c>
      <c r="G13" s="69">
        <v>522696.07</v>
      </c>
      <c r="H13" s="69">
        <v>412651.71</v>
      </c>
      <c r="I13" s="69">
        <v>464379.64</v>
      </c>
      <c r="J13" s="155">
        <v>407504.78</v>
      </c>
      <c r="K13" s="69">
        <v>496689.37</v>
      </c>
      <c r="L13" s="69">
        <v>368282.51</v>
      </c>
      <c r="M13" s="69">
        <v>112994.63</v>
      </c>
      <c r="N13" s="139">
        <f t="shared" si="0"/>
        <v>2965559.0799999996</v>
      </c>
    </row>
    <row r="14" spans="1:14" s="24" customFormat="1" ht="12.75">
      <c r="A14" s="499"/>
      <c r="B14" s="471"/>
      <c r="C14" s="128" t="s">
        <v>2</v>
      </c>
      <c r="D14" s="69">
        <v>112349.82</v>
      </c>
      <c r="E14" s="69">
        <v>34874.77</v>
      </c>
      <c r="F14" s="69">
        <v>18387.72</v>
      </c>
      <c r="G14" s="69">
        <v>550190.27</v>
      </c>
      <c r="H14" s="69">
        <v>417110.01</v>
      </c>
      <c r="I14" s="69">
        <v>442951.6</v>
      </c>
      <c r="J14" s="155">
        <v>368565.1</v>
      </c>
      <c r="K14" s="69">
        <v>480788.88</v>
      </c>
      <c r="L14" s="69">
        <v>362612.36</v>
      </c>
      <c r="M14" s="69">
        <v>95015.27</v>
      </c>
      <c r="N14" s="139">
        <f t="shared" si="0"/>
        <v>2882845.8</v>
      </c>
    </row>
    <row r="15" spans="1:14" s="24" customFormat="1" ht="12.75">
      <c r="A15" s="499"/>
      <c r="B15" s="471"/>
      <c r="C15" s="128" t="s">
        <v>4</v>
      </c>
      <c r="D15" s="69">
        <f>+D13</f>
        <v>120402.01</v>
      </c>
      <c r="E15" s="69">
        <f aca="true" t="shared" si="4" ref="E15:M15">+E13</f>
        <v>41767.03</v>
      </c>
      <c r="F15" s="69">
        <f t="shared" si="4"/>
        <v>18191.33</v>
      </c>
      <c r="G15" s="69">
        <f t="shared" si="4"/>
        <v>522696.07</v>
      </c>
      <c r="H15" s="69">
        <f t="shared" si="4"/>
        <v>412651.71</v>
      </c>
      <c r="I15" s="69">
        <f t="shared" si="4"/>
        <v>464379.64</v>
      </c>
      <c r="J15" s="69">
        <f t="shared" si="4"/>
        <v>407504.78</v>
      </c>
      <c r="K15" s="69">
        <f t="shared" si="4"/>
        <v>496689.37</v>
      </c>
      <c r="L15" s="69">
        <f t="shared" si="4"/>
        <v>368282.51</v>
      </c>
      <c r="M15" s="69">
        <f t="shared" si="4"/>
        <v>112994.63</v>
      </c>
      <c r="N15" s="139">
        <f t="shared" si="0"/>
        <v>2965559.0799999996</v>
      </c>
    </row>
    <row r="16" spans="1:14" s="24" customFormat="1" ht="12.75">
      <c r="A16" s="499"/>
      <c r="B16" s="471"/>
      <c r="C16" s="128" t="s">
        <v>3</v>
      </c>
      <c r="D16" s="133">
        <f>+D14</f>
        <v>112349.82</v>
      </c>
      <c r="E16" s="133">
        <f aca="true" t="shared" si="5" ref="E16:M16">+E14</f>
        <v>34874.77</v>
      </c>
      <c r="F16" s="133">
        <f>F15+F12</f>
        <v>18585.230000000003</v>
      </c>
      <c r="G16" s="133">
        <f t="shared" si="5"/>
        <v>550190.27</v>
      </c>
      <c r="H16" s="133">
        <f t="shared" si="5"/>
        <v>417110.01</v>
      </c>
      <c r="I16" s="133">
        <f t="shared" si="5"/>
        <v>442951.6</v>
      </c>
      <c r="J16" s="133">
        <f t="shared" si="5"/>
        <v>368565.1</v>
      </c>
      <c r="K16" s="133">
        <f t="shared" si="5"/>
        <v>480788.88</v>
      </c>
      <c r="L16" s="133">
        <f t="shared" si="5"/>
        <v>362612.36</v>
      </c>
      <c r="M16" s="133">
        <f t="shared" si="5"/>
        <v>95015.27</v>
      </c>
      <c r="N16" s="139">
        <f t="shared" si="0"/>
        <v>2883043.3099999996</v>
      </c>
    </row>
    <row r="17" spans="1:15" s="3" customFormat="1" ht="13.5" thickBot="1">
      <c r="A17" s="499"/>
      <c r="B17" s="472"/>
      <c r="C17" s="140" t="s">
        <v>199</v>
      </c>
      <c r="D17" s="70">
        <f aca="true" t="shared" si="6" ref="D17:M17">D12+D13-D14</f>
        <v>18121.439999999988</v>
      </c>
      <c r="E17" s="70">
        <f t="shared" si="6"/>
        <v>47992.83000000001</v>
      </c>
      <c r="F17" s="70">
        <f t="shared" si="6"/>
        <v>197.51000000000204</v>
      </c>
      <c r="G17" s="70">
        <f t="shared" si="6"/>
        <v>134662.83999999997</v>
      </c>
      <c r="H17" s="70">
        <f t="shared" si="6"/>
        <v>88256.63</v>
      </c>
      <c r="I17" s="70">
        <f t="shared" si="6"/>
        <v>167233.01</v>
      </c>
      <c r="J17" s="70">
        <f t="shared" si="6"/>
        <v>101377.36000000004</v>
      </c>
      <c r="K17" s="70">
        <f t="shared" si="6"/>
        <v>116910.19999999995</v>
      </c>
      <c r="L17" s="70">
        <f t="shared" si="6"/>
        <v>143693.29000000004</v>
      </c>
      <c r="M17" s="70">
        <f t="shared" si="6"/>
        <v>56255.42</v>
      </c>
      <c r="N17" s="141">
        <f t="shared" si="0"/>
        <v>874700.5299999999</v>
      </c>
      <c r="O17" s="37"/>
    </row>
    <row r="18" spans="1:14" s="3" customFormat="1" ht="13.5" customHeight="1" hidden="1" thickBot="1">
      <c r="A18" s="462"/>
      <c r="B18" s="456" t="s">
        <v>10</v>
      </c>
      <c r="C18" s="135" t="s">
        <v>156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>
        <f t="shared" si="0"/>
        <v>0</v>
      </c>
    </row>
    <row r="19" spans="1:14" s="3" customFormat="1" ht="13.5" customHeight="1" hidden="1" thickBot="1">
      <c r="A19" s="462"/>
      <c r="B19" s="467"/>
      <c r="C19" s="128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>
        <f t="shared" si="0"/>
        <v>0</v>
      </c>
    </row>
    <row r="20" spans="1:14" s="3" customFormat="1" ht="13.5" customHeight="1" hidden="1" thickBot="1">
      <c r="A20" s="462"/>
      <c r="B20" s="467"/>
      <c r="C20" s="128" t="s">
        <v>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>
        <f t="shared" si="0"/>
        <v>0</v>
      </c>
    </row>
    <row r="21" spans="1:14" s="3" customFormat="1" ht="13.5" customHeight="1" hidden="1" thickBot="1">
      <c r="A21" s="462"/>
      <c r="B21" s="467"/>
      <c r="C21" s="128" t="s">
        <v>4</v>
      </c>
      <c r="D21" s="130">
        <f>D19</f>
        <v>0</v>
      </c>
      <c r="E21" s="130"/>
      <c r="F21" s="130"/>
      <c r="G21" s="130"/>
      <c r="H21" s="130"/>
      <c r="I21" s="130"/>
      <c r="J21" s="130"/>
      <c r="K21" s="130"/>
      <c r="L21" s="130"/>
      <c r="M21" s="130"/>
      <c r="N21" s="80">
        <f t="shared" si="0"/>
        <v>0</v>
      </c>
    </row>
    <row r="22" spans="1:14" s="3" customFormat="1" ht="13.5" customHeight="1" hidden="1" thickBot="1">
      <c r="A22" s="462"/>
      <c r="B22" s="467"/>
      <c r="C22" s="128" t="s">
        <v>3</v>
      </c>
      <c r="D22" s="130">
        <f>D19</f>
        <v>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80">
        <f t="shared" si="0"/>
        <v>0</v>
      </c>
    </row>
    <row r="23" spans="1:14" s="3" customFormat="1" ht="13.5" customHeight="1" hidden="1" thickBot="1">
      <c r="A23" s="462"/>
      <c r="B23" s="467"/>
      <c r="C23" s="15" t="s">
        <v>160</v>
      </c>
      <c r="D23" s="92">
        <f>D18+D19-D20</f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129">
        <f t="shared" si="0"/>
        <v>0</v>
      </c>
    </row>
    <row r="24" spans="1:14" s="3" customFormat="1" ht="13.5" customHeight="1" hidden="1" thickBot="1">
      <c r="A24" s="462"/>
      <c r="B24" s="467" t="s">
        <v>12</v>
      </c>
      <c r="C24" s="128" t="s">
        <v>156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>
        <f t="shared" si="0"/>
        <v>0</v>
      </c>
    </row>
    <row r="25" spans="1:14" s="3" customFormat="1" ht="13.5" customHeight="1" hidden="1" thickBot="1">
      <c r="A25" s="462"/>
      <c r="B25" s="467"/>
      <c r="C25" s="128" t="s">
        <v>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>
        <f t="shared" si="0"/>
        <v>0</v>
      </c>
    </row>
    <row r="26" spans="1:14" s="3" customFormat="1" ht="13.5" customHeight="1" hidden="1" thickBot="1">
      <c r="A26" s="462"/>
      <c r="B26" s="467"/>
      <c r="C26" s="128" t="s">
        <v>2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>
        <f t="shared" si="0"/>
        <v>0</v>
      </c>
    </row>
    <row r="27" spans="1:14" s="3" customFormat="1" ht="13.5" customHeight="1" hidden="1" thickBot="1">
      <c r="A27" s="462"/>
      <c r="B27" s="467"/>
      <c r="C27" s="128" t="s">
        <v>4</v>
      </c>
      <c r="D27" s="130">
        <f>D25</f>
        <v>0</v>
      </c>
      <c r="E27" s="130"/>
      <c r="F27" s="130"/>
      <c r="G27" s="130"/>
      <c r="H27" s="130"/>
      <c r="I27" s="130"/>
      <c r="J27" s="130"/>
      <c r="K27" s="130"/>
      <c r="L27" s="130"/>
      <c r="M27" s="130"/>
      <c r="N27" s="80">
        <f t="shared" si="0"/>
        <v>0</v>
      </c>
    </row>
    <row r="28" spans="1:14" s="3" customFormat="1" ht="13.5" customHeight="1" hidden="1" thickBot="1">
      <c r="A28" s="462"/>
      <c r="B28" s="467"/>
      <c r="C28" s="128" t="s">
        <v>3</v>
      </c>
      <c r="D28" s="130">
        <f>D25</f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80">
        <f t="shared" si="0"/>
        <v>0</v>
      </c>
    </row>
    <row r="29" spans="1:14" s="3" customFormat="1" ht="13.5" customHeight="1" hidden="1" thickBot="1">
      <c r="A29" s="462"/>
      <c r="B29" s="454"/>
      <c r="C29" s="16" t="s">
        <v>160</v>
      </c>
      <c r="D29" s="134">
        <f>D24+D25-D26</f>
        <v>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91">
        <f t="shared" si="0"/>
        <v>0</v>
      </c>
    </row>
    <row r="30" spans="1:14" s="3" customFormat="1" ht="13.5" customHeight="1">
      <c r="A30" s="462"/>
      <c r="B30" s="470" t="s">
        <v>138</v>
      </c>
      <c r="C30" s="136" t="s">
        <v>175</v>
      </c>
      <c r="D30" s="137">
        <v>-53.83</v>
      </c>
      <c r="E30" s="137">
        <v>200.03</v>
      </c>
      <c r="F30" s="137">
        <v>-4.72</v>
      </c>
      <c r="G30" s="137">
        <v>19.03</v>
      </c>
      <c r="H30" s="137">
        <v>-80.3</v>
      </c>
      <c r="I30" s="137">
        <v>49.25</v>
      </c>
      <c r="J30" s="168">
        <v>-32.63</v>
      </c>
      <c r="K30" s="137">
        <v>-187.06</v>
      </c>
      <c r="L30" s="137">
        <v>228.33</v>
      </c>
      <c r="M30" s="137">
        <v>-26.71</v>
      </c>
      <c r="N30" s="138">
        <f t="shared" si="0"/>
        <v>111.39</v>
      </c>
    </row>
    <row r="31" spans="1:14" s="3" customFormat="1" ht="12.75">
      <c r="A31" s="462"/>
      <c r="B31" s="471"/>
      <c r="C31" s="128" t="s">
        <v>1</v>
      </c>
      <c r="D31" s="69">
        <v>53.84</v>
      </c>
      <c r="E31" s="69">
        <v>-186.59</v>
      </c>
      <c r="F31" s="69">
        <v>4.72</v>
      </c>
      <c r="G31" s="69">
        <v>135.07</v>
      </c>
      <c r="H31" s="69">
        <v>162.5</v>
      </c>
      <c r="I31" s="69">
        <v>94.46</v>
      </c>
      <c r="J31" s="155">
        <v>58.96</v>
      </c>
      <c r="K31" s="69">
        <v>202.39</v>
      </c>
      <c r="L31" s="69">
        <v>-146.2</v>
      </c>
      <c r="M31" s="69">
        <v>38.33</v>
      </c>
      <c r="N31" s="139">
        <f t="shared" si="0"/>
        <v>417.48</v>
      </c>
    </row>
    <row r="32" spans="1:14" s="3" customFormat="1" ht="12.75">
      <c r="A32" s="462"/>
      <c r="B32" s="471"/>
      <c r="C32" s="128" t="s">
        <v>2</v>
      </c>
      <c r="D32" s="69">
        <v>0.01</v>
      </c>
      <c r="E32" s="69">
        <v>13.44</v>
      </c>
      <c r="F32" s="69">
        <v>0</v>
      </c>
      <c r="G32" s="69">
        <v>154.1</v>
      </c>
      <c r="H32" s="69">
        <v>82.2</v>
      </c>
      <c r="I32" s="69">
        <v>143.71</v>
      </c>
      <c r="J32" s="155">
        <v>26.33</v>
      </c>
      <c r="K32" s="69">
        <v>15.33</v>
      </c>
      <c r="L32" s="69">
        <v>82.13</v>
      </c>
      <c r="M32" s="69">
        <v>11.62</v>
      </c>
      <c r="N32" s="139">
        <f t="shared" si="0"/>
        <v>528.87</v>
      </c>
    </row>
    <row r="33" spans="1:14" s="3" customFormat="1" ht="12.75">
      <c r="A33" s="462"/>
      <c r="B33" s="471"/>
      <c r="C33" s="128" t="s">
        <v>4</v>
      </c>
      <c r="D33" s="69">
        <f>+D31</f>
        <v>53.84</v>
      </c>
      <c r="E33" s="69">
        <f aca="true" t="shared" si="7" ref="E33:M33">+E31</f>
        <v>-186.59</v>
      </c>
      <c r="F33" s="69">
        <f t="shared" si="7"/>
        <v>4.72</v>
      </c>
      <c r="G33" s="69">
        <f t="shared" si="7"/>
        <v>135.07</v>
      </c>
      <c r="H33" s="69">
        <f t="shared" si="7"/>
        <v>162.5</v>
      </c>
      <c r="I33" s="69">
        <f t="shared" si="7"/>
        <v>94.46</v>
      </c>
      <c r="J33" s="69">
        <f t="shared" si="7"/>
        <v>58.96</v>
      </c>
      <c r="K33" s="69">
        <f t="shared" si="7"/>
        <v>202.39</v>
      </c>
      <c r="L33" s="69">
        <f t="shared" si="7"/>
        <v>-146.2</v>
      </c>
      <c r="M33" s="69">
        <f t="shared" si="7"/>
        <v>38.33</v>
      </c>
      <c r="N33" s="139">
        <f t="shared" si="0"/>
        <v>417.48</v>
      </c>
    </row>
    <row r="34" spans="1:14" s="3" customFormat="1" ht="12.75">
      <c r="A34" s="462"/>
      <c r="B34" s="471"/>
      <c r="C34" s="128" t="s">
        <v>3</v>
      </c>
      <c r="D34" s="133">
        <f>D32</f>
        <v>0.01</v>
      </c>
      <c r="E34" s="133">
        <f aca="true" t="shared" si="8" ref="E34:M34">E32</f>
        <v>13.44</v>
      </c>
      <c r="F34" s="133">
        <f t="shared" si="8"/>
        <v>0</v>
      </c>
      <c r="G34" s="133">
        <f t="shared" si="8"/>
        <v>154.1</v>
      </c>
      <c r="H34" s="133">
        <f t="shared" si="8"/>
        <v>82.2</v>
      </c>
      <c r="I34" s="133">
        <f t="shared" si="8"/>
        <v>143.71</v>
      </c>
      <c r="J34" s="133">
        <f t="shared" si="8"/>
        <v>26.33</v>
      </c>
      <c r="K34" s="133">
        <f t="shared" si="8"/>
        <v>15.33</v>
      </c>
      <c r="L34" s="133">
        <f t="shared" si="8"/>
        <v>82.13</v>
      </c>
      <c r="M34" s="133">
        <f t="shared" si="8"/>
        <v>11.62</v>
      </c>
      <c r="N34" s="139">
        <f t="shared" si="0"/>
        <v>528.87</v>
      </c>
    </row>
    <row r="35" spans="1:15" s="3" customFormat="1" ht="13.5" thickBot="1">
      <c r="A35" s="463"/>
      <c r="B35" s="472"/>
      <c r="C35" s="140" t="s">
        <v>199</v>
      </c>
      <c r="D35" s="70">
        <f aca="true" t="shared" si="9" ref="D35:M35">D30+D31-D32</f>
        <v>5.115699530655604E-15</v>
      </c>
      <c r="E35" s="70">
        <f t="shared" si="9"/>
        <v>0</v>
      </c>
      <c r="F35" s="70">
        <f t="shared" si="9"/>
        <v>0</v>
      </c>
      <c r="G35" s="70">
        <f t="shared" si="9"/>
        <v>0</v>
      </c>
      <c r="H35" s="70">
        <f t="shared" si="9"/>
        <v>0</v>
      </c>
      <c r="I35" s="70">
        <f t="shared" si="9"/>
        <v>0</v>
      </c>
      <c r="J35" s="70">
        <f t="shared" si="9"/>
        <v>0</v>
      </c>
      <c r="K35" s="70">
        <f t="shared" si="9"/>
        <v>-1.5987211554602254E-14</v>
      </c>
      <c r="L35" s="70">
        <f t="shared" si="9"/>
        <v>0</v>
      </c>
      <c r="M35" s="70">
        <f t="shared" si="9"/>
        <v>0</v>
      </c>
      <c r="N35" s="141">
        <f t="shared" si="0"/>
        <v>-1.087151202394665E-14</v>
      </c>
      <c r="O35" s="37"/>
    </row>
    <row r="36" spans="1:15" s="24" customFormat="1" ht="12.75" customHeight="1">
      <c r="A36" s="391" t="s">
        <v>11</v>
      </c>
      <c r="B36" s="470" t="s">
        <v>10</v>
      </c>
      <c r="C36" s="136" t="s">
        <v>175</v>
      </c>
      <c r="D36" s="137">
        <v>24176.04</v>
      </c>
      <c r="E36" s="137">
        <v>229382.3</v>
      </c>
      <c r="F36" s="137">
        <v>8015.64</v>
      </c>
      <c r="G36" s="137">
        <v>410850.46</v>
      </c>
      <c r="H36" s="137">
        <v>424352.22</v>
      </c>
      <c r="I36" s="137">
        <v>499364.8</v>
      </c>
      <c r="J36" s="168">
        <v>393691.92</v>
      </c>
      <c r="K36" s="137">
        <v>269467.1</v>
      </c>
      <c r="L36" s="137">
        <v>585931.66</v>
      </c>
      <c r="M36" s="137">
        <v>25117.42</v>
      </c>
      <c r="N36" s="138">
        <f t="shared" si="0"/>
        <v>2870349.56</v>
      </c>
      <c r="O36" s="47"/>
    </row>
    <row r="37" spans="1:14" s="24" customFormat="1" ht="12.75">
      <c r="A37" s="391"/>
      <c r="B37" s="471"/>
      <c r="C37" s="128" t="s">
        <v>1</v>
      </c>
      <c r="D37" s="69">
        <v>1116467.82</v>
      </c>
      <c r="E37" s="69">
        <v>210368.16</v>
      </c>
      <c r="F37" s="69">
        <v>212619.54</v>
      </c>
      <c r="G37" s="69">
        <v>5739829.29</v>
      </c>
      <c r="H37" s="69">
        <v>4133830.26</v>
      </c>
      <c r="I37" s="69">
        <v>4117178.58</v>
      </c>
      <c r="J37" s="155">
        <v>4042486.98</v>
      </c>
      <c r="K37" s="69">
        <v>4066428.79</v>
      </c>
      <c r="L37" s="69">
        <v>2788349.28</v>
      </c>
      <c r="M37" s="69">
        <v>1098457.32</v>
      </c>
      <c r="N37" s="139">
        <f t="shared" si="0"/>
        <v>27526016.02</v>
      </c>
    </row>
    <row r="38" spans="1:14" s="24" customFormat="1" ht="12.75">
      <c r="A38" s="391"/>
      <c r="B38" s="471"/>
      <c r="C38" s="128" t="s">
        <v>2</v>
      </c>
      <c r="D38" s="69">
        <v>1069389.35</v>
      </c>
      <c r="E38" s="69">
        <v>169067.78</v>
      </c>
      <c r="F38" s="69">
        <v>215859.7</v>
      </c>
      <c r="G38" s="69">
        <v>5598904.47</v>
      </c>
      <c r="H38" s="69">
        <v>4196988.45</v>
      </c>
      <c r="I38" s="69">
        <v>4096977.38</v>
      </c>
      <c r="J38" s="155">
        <v>3946116.42</v>
      </c>
      <c r="K38" s="69">
        <v>4043855.77</v>
      </c>
      <c r="L38" s="69">
        <v>2483981.25</v>
      </c>
      <c r="M38" s="69">
        <v>1010919.2</v>
      </c>
      <c r="N38" s="139">
        <f t="shared" si="0"/>
        <v>26832059.77</v>
      </c>
    </row>
    <row r="39" spans="1:16" s="24" customFormat="1" ht="12.75">
      <c r="A39" s="391"/>
      <c r="B39" s="471"/>
      <c r="C39" s="128" t="s">
        <v>4</v>
      </c>
      <c r="D39" s="69">
        <f>+D37</f>
        <v>1116467.82</v>
      </c>
      <c r="E39" s="69">
        <f aca="true" t="shared" si="10" ref="E39:M39">+E37</f>
        <v>210368.16</v>
      </c>
      <c r="F39" s="69">
        <f t="shared" si="10"/>
        <v>212619.54</v>
      </c>
      <c r="G39" s="69">
        <f t="shared" si="10"/>
        <v>5739829.29</v>
      </c>
      <c r="H39" s="69">
        <f t="shared" si="10"/>
        <v>4133830.26</v>
      </c>
      <c r="I39" s="69">
        <f t="shared" si="10"/>
        <v>4117178.58</v>
      </c>
      <c r="J39" s="69">
        <f t="shared" si="10"/>
        <v>4042486.98</v>
      </c>
      <c r="K39" s="69">
        <f t="shared" si="10"/>
        <v>4066428.79</v>
      </c>
      <c r="L39" s="69">
        <f t="shared" si="10"/>
        <v>2788349.28</v>
      </c>
      <c r="M39" s="69">
        <f t="shared" si="10"/>
        <v>1098457.32</v>
      </c>
      <c r="N39" s="139">
        <f t="shared" si="0"/>
        <v>27526016.02</v>
      </c>
      <c r="P39" s="333"/>
    </row>
    <row r="40" spans="1:14" s="24" customFormat="1" ht="12.75">
      <c r="A40" s="391"/>
      <c r="B40" s="471"/>
      <c r="C40" s="128" t="s">
        <v>3</v>
      </c>
      <c r="D40" s="133">
        <f>+D38</f>
        <v>1069389.35</v>
      </c>
      <c r="E40" s="133">
        <f aca="true" t="shared" si="11" ref="E40:M40">+E38</f>
        <v>169067.78</v>
      </c>
      <c r="F40" s="133">
        <f>F39+F36</f>
        <v>220635.18000000002</v>
      </c>
      <c r="G40" s="133">
        <v>5611966.01</v>
      </c>
      <c r="H40" s="133">
        <v>4462803.99</v>
      </c>
      <c r="I40" s="133">
        <f t="shared" si="11"/>
        <v>4096977.38</v>
      </c>
      <c r="J40" s="133">
        <v>3997599.15</v>
      </c>
      <c r="K40" s="133">
        <f t="shared" si="11"/>
        <v>4043855.77</v>
      </c>
      <c r="L40" s="133">
        <f t="shared" si="11"/>
        <v>2483981.25</v>
      </c>
      <c r="M40" s="133">
        <f t="shared" si="11"/>
        <v>1010919.2</v>
      </c>
      <c r="N40" s="139">
        <f t="shared" si="0"/>
        <v>27167195.060000002</v>
      </c>
    </row>
    <row r="41" spans="1:14" s="3" customFormat="1" ht="13.5" thickBot="1">
      <c r="A41" s="391"/>
      <c r="B41" s="472"/>
      <c r="C41" s="140" t="s">
        <v>199</v>
      </c>
      <c r="D41" s="70">
        <f>D36+D37-D38</f>
        <v>71254.51000000001</v>
      </c>
      <c r="E41" s="70">
        <f aca="true" t="shared" si="12" ref="E41:M41">E36+E37-E38</f>
        <v>270682.67999999993</v>
      </c>
      <c r="F41" s="70">
        <f t="shared" si="12"/>
        <v>4775.4800000000105</v>
      </c>
      <c r="G41" s="70">
        <f>G36+G37-G38</f>
        <v>551775.2800000003</v>
      </c>
      <c r="H41" s="70">
        <f t="shared" si="12"/>
        <v>361194.02999999933</v>
      </c>
      <c r="I41" s="70">
        <f t="shared" si="12"/>
        <v>519566</v>
      </c>
      <c r="J41" s="70">
        <f t="shared" si="12"/>
        <v>490062.48000000045</v>
      </c>
      <c r="K41" s="70">
        <f t="shared" si="12"/>
        <v>292040.11999999965</v>
      </c>
      <c r="L41" s="70">
        <f t="shared" si="12"/>
        <v>890299.69</v>
      </c>
      <c r="M41" s="70">
        <f t="shared" si="12"/>
        <v>112655.54000000004</v>
      </c>
      <c r="N41" s="141">
        <f t="shared" si="0"/>
        <v>3564305.8099999996</v>
      </c>
    </row>
    <row r="42" spans="1:14" s="24" customFormat="1" ht="12.75">
      <c r="A42" s="391"/>
      <c r="B42" s="470" t="s">
        <v>12</v>
      </c>
      <c r="C42" s="136" t="s">
        <v>175</v>
      </c>
      <c r="D42" s="137">
        <v>25957.41</v>
      </c>
      <c r="E42" s="137">
        <v>44778.38</v>
      </c>
      <c r="F42" s="137">
        <v>943.8</v>
      </c>
      <c r="G42" s="137">
        <v>268185.56</v>
      </c>
      <c r="H42" s="137">
        <v>188756.25</v>
      </c>
      <c r="I42" s="137">
        <v>243623.23</v>
      </c>
      <c r="J42" s="168">
        <v>137036.71</v>
      </c>
      <c r="K42" s="137">
        <v>160364.49</v>
      </c>
      <c r="L42" s="137">
        <v>188754.61</v>
      </c>
      <c r="M42" s="137">
        <v>52748.7</v>
      </c>
      <c r="N42" s="138">
        <f t="shared" si="0"/>
        <v>1311149.14</v>
      </c>
    </row>
    <row r="43" spans="1:14" s="24" customFormat="1" ht="12.75">
      <c r="A43" s="391"/>
      <c r="B43" s="471"/>
      <c r="C43" s="128" t="s">
        <v>1</v>
      </c>
      <c r="D43" s="69">
        <v>191928.65</v>
      </c>
      <c r="E43" s="69">
        <v>46005.16</v>
      </c>
      <c r="F43" s="69">
        <v>29353.41</v>
      </c>
      <c r="G43" s="69">
        <v>849394.35</v>
      </c>
      <c r="H43" s="69">
        <v>628246.52</v>
      </c>
      <c r="I43" s="69">
        <v>729767.56</v>
      </c>
      <c r="J43" s="155">
        <v>669550.71</v>
      </c>
      <c r="K43" s="69">
        <v>748906.63</v>
      </c>
      <c r="L43" s="69">
        <v>487416.97</v>
      </c>
      <c r="M43" s="69">
        <v>159998.61</v>
      </c>
      <c r="N43" s="139">
        <f t="shared" si="0"/>
        <v>4540568.57</v>
      </c>
    </row>
    <row r="44" spans="1:14" s="24" customFormat="1" ht="12.75">
      <c r="A44" s="391"/>
      <c r="B44" s="471"/>
      <c r="C44" s="128" t="s">
        <v>2</v>
      </c>
      <c r="D44" s="69">
        <v>176244.86</v>
      </c>
      <c r="E44" s="69">
        <v>35356.72</v>
      </c>
      <c r="F44" s="69">
        <v>29638.45</v>
      </c>
      <c r="G44" s="69">
        <v>907590.45</v>
      </c>
      <c r="H44" s="69">
        <v>674684.68</v>
      </c>
      <c r="I44" s="69">
        <v>739847.5</v>
      </c>
      <c r="J44" s="155">
        <v>668527.64</v>
      </c>
      <c r="K44" s="69">
        <v>732762.37</v>
      </c>
      <c r="L44" s="69">
        <v>488724.95</v>
      </c>
      <c r="M44" s="69">
        <v>136224.56</v>
      </c>
      <c r="N44" s="139">
        <f t="shared" si="0"/>
        <v>4589602.180000001</v>
      </c>
    </row>
    <row r="45" spans="1:14" s="24" customFormat="1" ht="12.75">
      <c r="A45" s="391"/>
      <c r="B45" s="471"/>
      <c r="C45" s="128" t="s">
        <v>4</v>
      </c>
      <c r="D45" s="69">
        <f>+D43</f>
        <v>191928.65</v>
      </c>
      <c r="E45" s="69">
        <f aca="true" t="shared" si="13" ref="E45:M45">+E43</f>
        <v>46005.16</v>
      </c>
      <c r="F45" s="69">
        <f t="shared" si="13"/>
        <v>29353.41</v>
      </c>
      <c r="G45" s="69">
        <f>G43</f>
        <v>849394.35</v>
      </c>
      <c r="H45" s="69">
        <f t="shared" si="13"/>
        <v>628246.52</v>
      </c>
      <c r="I45" s="69">
        <f t="shared" si="13"/>
        <v>729767.56</v>
      </c>
      <c r="J45" s="69">
        <f t="shared" si="13"/>
        <v>669550.71</v>
      </c>
      <c r="K45" s="69">
        <f t="shared" si="13"/>
        <v>748906.63</v>
      </c>
      <c r="L45" s="69">
        <f t="shared" si="13"/>
        <v>487416.97</v>
      </c>
      <c r="M45" s="69">
        <f t="shared" si="13"/>
        <v>159998.61</v>
      </c>
      <c r="N45" s="139">
        <f t="shared" si="0"/>
        <v>4540568.57</v>
      </c>
    </row>
    <row r="46" spans="1:14" s="24" customFormat="1" ht="12.75">
      <c r="A46" s="391"/>
      <c r="B46" s="471"/>
      <c r="C46" s="128" t="s">
        <v>3</v>
      </c>
      <c r="D46" s="133">
        <v>191695.82</v>
      </c>
      <c r="E46" s="133">
        <f>+E44</f>
        <v>35356.72</v>
      </c>
      <c r="F46" s="133">
        <f>F45+F42</f>
        <v>30297.21</v>
      </c>
      <c r="G46" s="133">
        <f>G45+G42</f>
        <v>1117579.91</v>
      </c>
      <c r="H46" s="133">
        <f>H45+H42</f>
        <v>817002.77</v>
      </c>
      <c r="I46" s="133">
        <v>896790.33</v>
      </c>
      <c r="J46" s="133">
        <f>J45+J42</f>
        <v>806587.4199999999</v>
      </c>
      <c r="K46" s="133">
        <v>750275.84</v>
      </c>
      <c r="L46" s="133">
        <f>+L44</f>
        <v>488724.95</v>
      </c>
      <c r="M46" s="133">
        <f>+M44</f>
        <v>136224.56</v>
      </c>
      <c r="N46" s="139">
        <f t="shared" si="0"/>
        <v>5270535.53</v>
      </c>
    </row>
    <row r="47" spans="1:14" s="3" customFormat="1" ht="13.5" thickBot="1">
      <c r="A47" s="391"/>
      <c r="B47" s="472"/>
      <c r="C47" s="140" t="s">
        <v>199</v>
      </c>
      <c r="D47" s="70">
        <f>D42+D43-D44</f>
        <v>41641.20000000001</v>
      </c>
      <c r="E47" s="70">
        <f aca="true" t="shared" si="14" ref="E47:M47">E42+E43-E44</f>
        <v>55426.82000000001</v>
      </c>
      <c r="F47" s="70">
        <f t="shared" si="14"/>
        <v>658.7599999999984</v>
      </c>
      <c r="G47" s="70">
        <f>G42+G43-G44</f>
        <v>209989.45999999996</v>
      </c>
      <c r="H47" s="70">
        <f t="shared" si="14"/>
        <v>142318.08999999997</v>
      </c>
      <c r="I47" s="70">
        <f t="shared" si="14"/>
        <v>233543.29000000004</v>
      </c>
      <c r="J47" s="70">
        <f t="shared" si="14"/>
        <v>138059.7799999999</v>
      </c>
      <c r="K47" s="70">
        <f t="shared" si="14"/>
        <v>176508.75</v>
      </c>
      <c r="L47" s="70">
        <f t="shared" si="14"/>
        <v>187446.62999999995</v>
      </c>
      <c r="M47" s="70">
        <f t="shared" si="14"/>
        <v>76522.75</v>
      </c>
      <c r="N47" s="141">
        <f t="shared" si="0"/>
        <v>1262115.53</v>
      </c>
    </row>
    <row r="48" spans="1:14" s="3" customFormat="1" ht="12.75">
      <c r="A48" s="391"/>
      <c r="B48" s="470" t="s">
        <v>136</v>
      </c>
      <c r="C48" s="136" t="s">
        <v>175</v>
      </c>
      <c r="D48" s="137">
        <v>-84.23</v>
      </c>
      <c r="E48" s="137">
        <v>319.53</v>
      </c>
      <c r="F48" s="137">
        <v>-7.38</v>
      </c>
      <c r="G48" s="137">
        <v>40.2</v>
      </c>
      <c r="H48" s="137">
        <v>-122.55</v>
      </c>
      <c r="I48" s="137">
        <v>83.49</v>
      </c>
      <c r="J48" s="168">
        <v>-49.71</v>
      </c>
      <c r="K48" s="137">
        <v>-292.36</v>
      </c>
      <c r="L48" s="137">
        <v>365.26</v>
      </c>
      <c r="M48" s="137">
        <v>-41.64</v>
      </c>
      <c r="N48" s="138">
        <f t="shared" si="0"/>
        <v>210.60999999999996</v>
      </c>
    </row>
    <row r="49" spans="1:14" s="3" customFormat="1" ht="12.75">
      <c r="A49" s="391"/>
      <c r="B49" s="471"/>
      <c r="C49" s="128" t="s">
        <v>1</v>
      </c>
      <c r="D49" s="69">
        <v>84.25</v>
      </c>
      <c r="E49" s="69">
        <v>-298.21</v>
      </c>
      <c r="F49" s="69">
        <v>7.38</v>
      </c>
      <c r="G49" s="69">
        <v>205.9</v>
      </c>
      <c r="H49" s="69">
        <v>253.98</v>
      </c>
      <c r="I49" s="69">
        <v>145.93</v>
      </c>
      <c r="J49" s="155">
        <v>91.39</v>
      </c>
      <c r="K49" s="69">
        <v>316.49</v>
      </c>
      <c r="L49" s="69">
        <v>-234.92</v>
      </c>
      <c r="M49" s="69">
        <v>59.88</v>
      </c>
      <c r="N49" s="139">
        <f t="shared" si="0"/>
        <v>632.0699999999999</v>
      </c>
    </row>
    <row r="50" spans="1:14" s="3" customFormat="1" ht="12.75">
      <c r="A50" s="391"/>
      <c r="B50" s="471"/>
      <c r="C50" s="128" t="s">
        <v>2</v>
      </c>
      <c r="D50" s="69">
        <v>0.02</v>
      </c>
      <c r="E50" s="69">
        <v>21.32</v>
      </c>
      <c r="F50" s="69">
        <v>0</v>
      </c>
      <c r="G50" s="69">
        <v>246.1</v>
      </c>
      <c r="H50" s="69">
        <v>131.43</v>
      </c>
      <c r="I50" s="69">
        <v>229.42</v>
      </c>
      <c r="J50" s="155">
        <v>41.68</v>
      </c>
      <c r="K50" s="69">
        <v>24.13</v>
      </c>
      <c r="L50" s="69">
        <v>130.34</v>
      </c>
      <c r="M50" s="69">
        <v>18.24</v>
      </c>
      <c r="N50" s="139">
        <f t="shared" si="0"/>
        <v>842.6800000000001</v>
      </c>
    </row>
    <row r="51" spans="1:14" s="3" customFormat="1" ht="12.75">
      <c r="A51" s="391"/>
      <c r="B51" s="471"/>
      <c r="C51" s="128" t="s">
        <v>4</v>
      </c>
      <c r="D51" s="69">
        <f>+D49</f>
        <v>84.25</v>
      </c>
      <c r="E51" s="69">
        <f aca="true" t="shared" si="15" ref="E51:M51">+E49</f>
        <v>-298.21</v>
      </c>
      <c r="F51" s="69">
        <f t="shared" si="15"/>
        <v>7.38</v>
      </c>
      <c r="G51" s="69">
        <f t="shared" si="15"/>
        <v>205.9</v>
      </c>
      <c r="H51" s="69">
        <f t="shared" si="15"/>
        <v>253.98</v>
      </c>
      <c r="I51" s="69">
        <f t="shared" si="15"/>
        <v>145.93</v>
      </c>
      <c r="J51" s="69">
        <f t="shared" si="15"/>
        <v>91.39</v>
      </c>
      <c r="K51" s="69">
        <f t="shared" si="15"/>
        <v>316.49</v>
      </c>
      <c r="L51" s="69">
        <f t="shared" si="15"/>
        <v>-234.92</v>
      </c>
      <c r="M51" s="69">
        <f t="shared" si="15"/>
        <v>59.88</v>
      </c>
      <c r="N51" s="139">
        <f t="shared" si="0"/>
        <v>632.0699999999999</v>
      </c>
    </row>
    <row r="52" spans="1:14" s="3" customFormat="1" ht="12.75">
      <c r="A52" s="391"/>
      <c r="B52" s="471"/>
      <c r="C52" s="128" t="s">
        <v>3</v>
      </c>
      <c r="D52" s="133">
        <f>+D50</f>
        <v>0.02</v>
      </c>
      <c r="E52" s="133">
        <f aca="true" t="shared" si="16" ref="E52:M52">+E50</f>
        <v>21.32</v>
      </c>
      <c r="F52" s="133">
        <f t="shared" si="16"/>
        <v>0</v>
      </c>
      <c r="G52" s="133">
        <f t="shared" si="16"/>
        <v>246.1</v>
      </c>
      <c r="H52" s="133">
        <f t="shared" si="16"/>
        <v>131.43</v>
      </c>
      <c r="I52" s="133">
        <f t="shared" si="16"/>
        <v>229.42</v>
      </c>
      <c r="J52" s="133">
        <f t="shared" si="16"/>
        <v>41.68</v>
      </c>
      <c r="K52" s="133">
        <f t="shared" si="16"/>
        <v>24.13</v>
      </c>
      <c r="L52" s="133">
        <f t="shared" si="16"/>
        <v>130.34</v>
      </c>
      <c r="M52" s="133">
        <f t="shared" si="16"/>
        <v>18.24</v>
      </c>
      <c r="N52" s="139">
        <f t="shared" si="0"/>
        <v>842.6800000000001</v>
      </c>
    </row>
    <row r="53" spans="1:14" s="3" customFormat="1" ht="13.5" thickBot="1">
      <c r="A53" s="391"/>
      <c r="B53" s="472"/>
      <c r="C53" s="140" t="s">
        <v>199</v>
      </c>
      <c r="D53" s="70">
        <f>D48+D49-D50</f>
        <v>-3.9794556538907955E-15</v>
      </c>
      <c r="E53" s="70">
        <f aca="true" t="shared" si="17" ref="E53:M53">E48+E49-E50</f>
        <v>0</v>
      </c>
      <c r="F53" s="70">
        <f t="shared" si="17"/>
        <v>0</v>
      </c>
      <c r="G53" s="70">
        <f>G48+G49-G50</f>
        <v>0</v>
      </c>
      <c r="H53" s="70">
        <f t="shared" si="17"/>
        <v>0</v>
      </c>
      <c r="I53" s="70">
        <f t="shared" si="17"/>
        <v>0</v>
      </c>
      <c r="J53" s="70">
        <f t="shared" si="17"/>
        <v>0</v>
      </c>
      <c r="K53" s="70">
        <f t="shared" si="17"/>
        <v>0</v>
      </c>
      <c r="L53" s="70">
        <f t="shared" si="17"/>
        <v>0</v>
      </c>
      <c r="M53" s="70">
        <f t="shared" si="17"/>
        <v>0</v>
      </c>
      <c r="N53" s="141">
        <f t="shared" si="0"/>
        <v>-3.9794556538907955E-15</v>
      </c>
    </row>
    <row r="54" spans="1:14" s="3" customFormat="1" ht="12.75">
      <c r="A54" s="391"/>
      <c r="B54" s="470" t="s">
        <v>132</v>
      </c>
      <c r="C54" s="136" t="s">
        <v>175</v>
      </c>
      <c r="D54" s="137">
        <f>-1428.17-11.35</f>
        <v>-1439.52</v>
      </c>
      <c r="E54" s="137">
        <v>9729.65</v>
      </c>
      <c r="F54" s="137">
        <v>-229.35</v>
      </c>
      <c r="G54" s="168">
        <f>1774.48-1143.36+457.02-39.33</f>
        <v>1048.8100000000002</v>
      </c>
      <c r="H54" s="137">
        <f>-4111.33-58.02</f>
        <v>-4169.35</v>
      </c>
      <c r="I54" s="137">
        <f>-2166.48-66.21</f>
        <v>-2232.69</v>
      </c>
      <c r="J54" s="168">
        <f>-3640.06-42.46</f>
        <v>-3682.52</v>
      </c>
      <c r="K54" s="137">
        <f>-9101.72-66.28</f>
        <v>-9168</v>
      </c>
      <c r="L54" s="137">
        <v>370944.53</v>
      </c>
      <c r="M54" s="137">
        <f>-1079.59-8.78</f>
        <v>-1088.37</v>
      </c>
      <c r="N54" s="138">
        <f t="shared" si="0"/>
        <v>359713.19000000006</v>
      </c>
    </row>
    <row r="55" spans="1:14" s="3" customFormat="1" ht="12.75">
      <c r="A55" s="391"/>
      <c r="B55" s="471"/>
      <c r="C55" s="128" t="s">
        <v>1</v>
      </c>
      <c r="D55" s="69">
        <f>1428.34+11.35</f>
        <v>1439.6899999999998</v>
      </c>
      <c r="E55" s="69">
        <v>-9550.12</v>
      </c>
      <c r="F55" s="69">
        <v>229.35</v>
      </c>
      <c r="G55" s="155">
        <f>-647.87+2349.25+2491.69+39.33</f>
        <v>4232.4</v>
      </c>
      <c r="H55" s="69">
        <f>7271.47+58.21</f>
        <v>7329.68</v>
      </c>
      <c r="I55" s="69">
        <f>6043.11+66.21</f>
        <v>6109.32</v>
      </c>
      <c r="J55" s="155">
        <f>4141.38+42.46</f>
        <v>4183.84</v>
      </c>
      <c r="K55" s="69">
        <f>9392.28+66.28</f>
        <v>9458.560000000001</v>
      </c>
      <c r="L55" s="69">
        <v>1293116.21</v>
      </c>
      <c r="M55" s="69">
        <f>1233.63+8.78</f>
        <v>1242.41</v>
      </c>
      <c r="N55" s="139">
        <f t="shared" si="0"/>
        <v>1317791.3399999999</v>
      </c>
    </row>
    <row r="56" spans="1:14" s="3" customFormat="1" ht="12.75">
      <c r="A56" s="391"/>
      <c r="B56" s="471"/>
      <c r="C56" s="128" t="s">
        <v>2</v>
      </c>
      <c r="D56" s="69">
        <v>0.17</v>
      </c>
      <c r="E56" s="69">
        <v>179.53</v>
      </c>
      <c r="F56" s="69">
        <v>0</v>
      </c>
      <c r="G56" s="155">
        <f>1126.61+1205.89+2948.71</f>
        <v>5281.21</v>
      </c>
      <c r="H56" s="69">
        <f>3160.14+0.19</f>
        <v>3160.33</v>
      </c>
      <c r="I56" s="69">
        <v>3876.63</v>
      </c>
      <c r="J56" s="155">
        <v>501.32</v>
      </c>
      <c r="K56" s="69">
        <v>290.56</v>
      </c>
      <c r="L56" s="69">
        <v>1238530.4</v>
      </c>
      <c r="M56" s="69">
        <v>154.04</v>
      </c>
      <c r="N56" s="139">
        <f t="shared" si="0"/>
        <v>1251974.19</v>
      </c>
    </row>
    <row r="57" spans="1:14" s="3" customFormat="1" ht="12.75">
      <c r="A57" s="391"/>
      <c r="B57" s="471"/>
      <c r="C57" s="128" t="s">
        <v>4</v>
      </c>
      <c r="D57" s="69">
        <f>+D55</f>
        <v>1439.6899999999998</v>
      </c>
      <c r="E57" s="69">
        <f aca="true" t="shared" si="18" ref="E57:M57">+E55</f>
        <v>-9550.12</v>
      </c>
      <c r="F57" s="69">
        <f t="shared" si="18"/>
        <v>229.35</v>
      </c>
      <c r="G57" s="69">
        <f t="shared" si="18"/>
        <v>4232.4</v>
      </c>
      <c r="H57" s="69">
        <f t="shared" si="18"/>
        <v>7329.68</v>
      </c>
      <c r="I57" s="69">
        <f t="shared" si="18"/>
        <v>6109.32</v>
      </c>
      <c r="J57" s="69">
        <f t="shared" si="18"/>
        <v>4183.84</v>
      </c>
      <c r="K57" s="69">
        <f t="shared" si="18"/>
        <v>9458.560000000001</v>
      </c>
      <c r="L57" s="69">
        <f t="shared" si="18"/>
        <v>1293116.21</v>
      </c>
      <c r="M57" s="69">
        <f t="shared" si="18"/>
        <v>1242.41</v>
      </c>
      <c r="N57" s="139">
        <f t="shared" si="0"/>
        <v>1317791.3399999999</v>
      </c>
    </row>
    <row r="58" spans="1:14" s="3" customFormat="1" ht="12.75">
      <c r="A58" s="391"/>
      <c r="B58" s="471"/>
      <c r="C58" s="128" t="s">
        <v>3</v>
      </c>
      <c r="D58" s="133">
        <f>+D56</f>
        <v>0.17</v>
      </c>
      <c r="E58" s="133">
        <f aca="true" t="shared" si="19" ref="E58:M58">+E56</f>
        <v>179.53</v>
      </c>
      <c r="F58" s="133">
        <f t="shared" si="19"/>
        <v>0</v>
      </c>
      <c r="G58" s="133">
        <f t="shared" si="19"/>
        <v>5281.21</v>
      </c>
      <c r="H58" s="133">
        <f t="shared" si="19"/>
        <v>3160.33</v>
      </c>
      <c r="I58" s="133">
        <f t="shared" si="19"/>
        <v>3876.63</v>
      </c>
      <c r="J58" s="133">
        <f t="shared" si="19"/>
        <v>501.32</v>
      </c>
      <c r="K58" s="133">
        <f t="shared" si="19"/>
        <v>290.56</v>
      </c>
      <c r="L58" s="133">
        <f t="shared" si="19"/>
        <v>1238530.4</v>
      </c>
      <c r="M58" s="133">
        <f t="shared" si="19"/>
        <v>154.04</v>
      </c>
      <c r="N58" s="139">
        <f t="shared" si="0"/>
        <v>1251974.19</v>
      </c>
    </row>
    <row r="59" spans="1:14" s="3" customFormat="1" ht="13.5" thickBot="1">
      <c r="A59" s="391"/>
      <c r="B59" s="472"/>
      <c r="C59" s="140" t="s">
        <v>199</v>
      </c>
      <c r="D59" s="70">
        <f>D54+D55-D56</f>
        <v>-1.5462631175466868E-13</v>
      </c>
      <c r="E59" s="70">
        <f>E54+E55-E56</f>
        <v>-1.1652900866465643E-12</v>
      </c>
      <c r="F59" s="70">
        <f>F54+F55-F56</f>
        <v>0</v>
      </c>
      <c r="G59" s="70">
        <f>G54+G55-G56</f>
        <v>0</v>
      </c>
      <c r="H59" s="70">
        <f aca="true" t="shared" si="20" ref="H59:M59">H54+H55-H56</f>
        <v>0</v>
      </c>
      <c r="I59" s="70">
        <f t="shared" si="20"/>
        <v>0</v>
      </c>
      <c r="J59" s="70">
        <f t="shared" si="20"/>
        <v>0</v>
      </c>
      <c r="K59" s="70">
        <f t="shared" si="20"/>
        <v>1.3073986337985843E-12</v>
      </c>
      <c r="L59" s="70">
        <f t="shared" si="20"/>
        <v>425530.3400000001</v>
      </c>
      <c r="M59" s="70">
        <f t="shared" si="20"/>
        <v>0</v>
      </c>
      <c r="N59" s="141">
        <f t="shared" si="0"/>
        <v>425530.3400000001</v>
      </c>
    </row>
    <row r="60" spans="1:14" s="3" customFormat="1" ht="13.5" customHeight="1">
      <c r="A60" s="391"/>
      <c r="B60" s="470" t="s">
        <v>164</v>
      </c>
      <c r="C60" s="136" t="s">
        <v>175</v>
      </c>
      <c r="D60" s="167"/>
      <c r="E60" s="167"/>
      <c r="F60" s="167"/>
      <c r="G60" s="137">
        <f>-5555.21-298.1-2622.48</f>
        <v>-8475.79</v>
      </c>
      <c r="H60" s="167"/>
      <c r="I60" s="167"/>
      <c r="J60" s="167"/>
      <c r="K60" s="167"/>
      <c r="L60" s="167"/>
      <c r="M60" s="167"/>
      <c r="N60" s="138">
        <f t="shared" si="0"/>
        <v>-8475.79</v>
      </c>
    </row>
    <row r="61" spans="1:14" s="3" customFormat="1" ht="12.75">
      <c r="A61" s="391"/>
      <c r="B61" s="471"/>
      <c r="C61" s="128" t="s">
        <v>1</v>
      </c>
      <c r="D61" s="80"/>
      <c r="E61" s="80"/>
      <c r="F61" s="80"/>
      <c r="G61" s="69">
        <f>6060.57+298.1+2622.48</f>
        <v>8981.15</v>
      </c>
      <c r="H61" s="80"/>
      <c r="I61" s="80"/>
      <c r="J61" s="80"/>
      <c r="K61" s="80"/>
      <c r="L61" s="80"/>
      <c r="M61" s="80"/>
      <c r="N61" s="139">
        <f t="shared" si="0"/>
        <v>8981.15</v>
      </c>
    </row>
    <row r="62" spans="1:14" s="3" customFormat="1" ht="12.75">
      <c r="A62" s="391"/>
      <c r="B62" s="471"/>
      <c r="C62" s="128" t="s">
        <v>2</v>
      </c>
      <c r="D62" s="80"/>
      <c r="E62" s="80"/>
      <c r="F62" s="80"/>
      <c r="G62" s="69">
        <f>505.36</f>
        <v>505.36</v>
      </c>
      <c r="H62" s="80"/>
      <c r="I62" s="80"/>
      <c r="J62" s="80"/>
      <c r="K62" s="80"/>
      <c r="L62" s="80"/>
      <c r="M62" s="80"/>
      <c r="N62" s="139">
        <f t="shared" si="0"/>
        <v>505.36</v>
      </c>
    </row>
    <row r="63" spans="1:14" s="3" customFormat="1" ht="12.75">
      <c r="A63" s="391"/>
      <c r="B63" s="471"/>
      <c r="C63" s="128" t="s">
        <v>4</v>
      </c>
      <c r="D63" s="69"/>
      <c r="E63" s="69"/>
      <c r="F63" s="69"/>
      <c r="G63" s="69">
        <f>+G61</f>
        <v>8981.15</v>
      </c>
      <c r="H63" s="69"/>
      <c r="I63" s="69"/>
      <c r="J63" s="69"/>
      <c r="K63" s="69"/>
      <c r="L63" s="69"/>
      <c r="M63" s="69"/>
      <c r="N63" s="139">
        <f t="shared" si="0"/>
        <v>8981.15</v>
      </c>
    </row>
    <row r="64" spans="1:14" s="3" customFormat="1" ht="12.75">
      <c r="A64" s="391"/>
      <c r="B64" s="471"/>
      <c r="C64" s="128" t="s">
        <v>3</v>
      </c>
      <c r="D64" s="133"/>
      <c r="E64" s="133"/>
      <c r="F64" s="133"/>
      <c r="G64" s="133">
        <f>+G62</f>
        <v>505.36</v>
      </c>
      <c r="H64" s="133"/>
      <c r="I64" s="133"/>
      <c r="J64" s="133"/>
      <c r="K64" s="133"/>
      <c r="L64" s="133"/>
      <c r="M64" s="133"/>
      <c r="N64" s="139">
        <f t="shared" si="0"/>
        <v>505.36</v>
      </c>
    </row>
    <row r="65" spans="1:14" s="3" customFormat="1" ht="13.5" thickBot="1">
      <c r="A65" s="391"/>
      <c r="B65" s="472"/>
      <c r="C65" s="140" t="s">
        <v>199</v>
      </c>
      <c r="D65" s="70"/>
      <c r="E65" s="70"/>
      <c r="F65" s="70"/>
      <c r="G65" s="70">
        <f>G60+G61-G62</f>
        <v>-1.2505552149377763E-12</v>
      </c>
      <c r="H65" s="70"/>
      <c r="I65" s="70"/>
      <c r="J65" s="70"/>
      <c r="K65" s="70"/>
      <c r="L65" s="70"/>
      <c r="M65" s="70"/>
      <c r="N65" s="141">
        <f aca="true" t="shared" si="21" ref="N65:N113">M65+L65+K65+J65+I65+H65+G65+F65+E65+D65</f>
        <v>-1.2505552149377763E-12</v>
      </c>
    </row>
    <row r="66" spans="1:14" s="3" customFormat="1" ht="13.5" customHeight="1" hidden="1" thickBot="1">
      <c r="A66" s="379" t="s">
        <v>13</v>
      </c>
      <c r="B66" s="456" t="s">
        <v>10</v>
      </c>
      <c r="C66" s="135" t="s">
        <v>156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>
        <f t="shared" si="21"/>
        <v>0</v>
      </c>
    </row>
    <row r="67" spans="1:14" s="3" customFormat="1" ht="13.5" customHeight="1" hidden="1" thickBot="1">
      <c r="A67" s="496"/>
      <c r="B67" s="467"/>
      <c r="C67" s="128" t="s">
        <v>1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>
        <f t="shared" si="21"/>
        <v>0</v>
      </c>
    </row>
    <row r="68" spans="1:14" s="3" customFormat="1" ht="13.5" customHeight="1" hidden="1" thickBot="1">
      <c r="A68" s="496"/>
      <c r="B68" s="467"/>
      <c r="C68" s="128" t="s">
        <v>2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>
        <f t="shared" si="21"/>
        <v>0</v>
      </c>
    </row>
    <row r="69" spans="1:14" s="3" customFormat="1" ht="13.5" customHeight="1" hidden="1" thickBot="1">
      <c r="A69" s="496"/>
      <c r="B69" s="467"/>
      <c r="C69" s="128" t="s">
        <v>4</v>
      </c>
      <c r="D69" s="130">
        <f>D67</f>
        <v>0</v>
      </c>
      <c r="E69" s="130"/>
      <c r="F69" s="130"/>
      <c r="G69" s="130"/>
      <c r="H69" s="130"/>
      <c r="I69" s="130"/>
      <c r="J69" s="130"/>
      <c r="K69" s="130"/>
      <c r="L69" s="130"/>
      <c r="M69" s="130"/>
      <c r="N69" s="80">
        <f t="shared" si="21"/>
        <v>0</v>
      </c>
    </row>
    <row r="70" spans="1:14" s="3" customFormat="1" ht="13.5" customHeight="1" hidden="1" thickBot="1">
      <c r="A70" s="496"/>
      <c r="B70" s="467"/>
      <c r="C70" s="128" t="s">
        <v>3</v>
      </c>
      <c r="D70" s="130">
        <f>D67</f>
        <v>0</v>
      </c>
      <c r="E70" s="130"/>
      <c r="F70" s="130"/>
      <c r="G70" s="130"/>
      <c r="H70" s="130"/>
      <c r="I70" s="130"/>
      <c r="J70" s="130"/>
      <c r="K70" s="130"/>
      <c r="L70" s="130"/>
      <c r="M70" s="130"/>
      <c r="N70" s="80">
        <f t="shared" si="21"/>
        <v>0</v>
      </c>
    </row>
    <row r="71" spans="1:14" s="3" customFormat="1" ht="13.5" customHeight="1" hidden="1" thickBot="1">
      <c r="A71" s="496"/>
      <c r="B71" s="467"/>
      <c r="C71" s="15" t="s">
        <v>160</v>
      </c>
      <c r="D71" s="92">
        <f>D66+D67-D68</f>
        <v>0</v>
      </c>
      <c r="E71" s="92"/>
      <c r="F71" s="92"/>
      <c r="G71" s="92"/>
      <c r="H71" s="92"/>
      <c r="I71" s="92"/>
      <c r="J71" s="92"/>
      <c r="K71" s="92"/>
      <c r="L71" s="92"/>
      <c r="M71" s="92"/>
      <c r="N71" s="129">
        <f t="shared" si="21"/>
        <v>0</v>
      </c>
    </row>
    <row r="72" spans="1:14" s="3" customFormat="1" ht="13.5" customHeight="1" hidden="1" thickBot="1">
      <c r="A72" s="496"/>
      <c r="B72" s="467" t="s">
        <v>12</v>
      </c>
      <c r="C72" s="128" t="s">
        <v>156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>
        <f t="shared" si="21"/>
        <v>0</v>
      </c>
    </row>
    <row r="73" spans="1:14" s="3" customFormat="1" ht="13.5" customHeight="1" hidden="1" thickBot="1">
      <c r="A73" s="496"/>
      <c r="B73" s="467"/>
      <c r="C73" s="128" t="s">
        <v>1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>
        <f t="shared" si="21"/>
        <v>0</v>
      </c>
    </row>
    <row r="74" spans="1:14" s="3" customFormat="1" ht="13.5" customHeight="1" hidden="1" thickBot="1">
      <c r="A74" s="496"/>
      <c r="B74" s="467"/>
      <c r="C74" s="128" t="s">
        <v>2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>
        <f t="shared" si="21"/>
        <v>0</v>
      </c>
    </row>
    <row r="75" spans="1:14" s="3" customFormat="1" ht="13.5" customHeight="1" hidden="1" thickBot="1">
      <c r="A75" s="496"/>
      <c r="B75" s="467"/>
      <c r="C75" s="128" t="s">
        <v>4</v>
      </c>
      <c r="D75" s="130">
        <f>D73</f>
        <v>0</v>
      </c>
      <c r="E75" s="130"/>
      <c r="F75" s="130"/>
      <c r="G75" s="130"/>
      <c r="H75" s="130"/>
      <c r="I75" s="130"/>
      <c r="J75" s="130"/>
      <c r="K75" s="130"/>
      <c r="L75" s="130"/>
      <c r="M75" s="130"/>
      <c r="N75" s="80">
        <f t="shared" si="21"/>
        <v>0</v>
      </c>
    </row>
    <row r="76" spans="1:14" s="3" customFormat="1" ht="13.5" customHeight="1" hidden="1" thickBot="1">
      <c r="A76" s="496"/>
      <c r="B76" s="467"/>
      <c r="C76" s="128" t="s">
        <v>3</v>
      </c>
      <c r="D76" s="130">
        <f>D73</f>
        <v>0</v>
      </c>
      <c r="E76" s="130"/>
      <c r="F76" s="130"/>
      <c r="G76" s="130"/>
      <c r="H76" s="130"/>
      <c r="I76" s="130"/>
      <c r="J76" s="130"/>
      <c r="K76" s="130"/>
      <c r="L76" s="130"/>
      <c r="M76" s="130"/>
      <c r="N76" s="80">
        <f t="shared" si="21"/>
        <v>0</v>
      </c>
    </row>
    <row r="77" spans="1:14" s="3" customFormat="1" ht="13.5" customHeight="1" hidden="1" thickBot="1">
      <c r="A77" s="496"/>
      <c r="B77" s="454"/>
      <c r="C77" s="16" t="s">
        <v>160</v>
      </c>
      <c r="D77" s="134">
        <f>D72+D73-D74</f>
        <v>0</v>
      </c>
      <c r="E77" s="134"/>
      <c r="F77" s="134"/>
      <c r="G77" s="134"/>
      <c r="H77" s="134"/>
      <c r="I77" s="134"/>
      <c r="J77" s="134"/>
      <c r="K77" s="134"/>
      <c r="L77" s="134"/>
      <c r="M77" s="134"/>
      <c r="N77" s="91">
        <f t="shared" si="21"/>
        <v>0</v>
      </c>
    </row>
    <row r="78" spans="1:14" s="24" customFormat="1" ht="12.75" customHeight="1">
      <c r="A78" s="497"/>
      <c r="B78" s="470" t="s">
        <v>14</v>
      </c>
      <c r="C78" s="136" t="s">
        <v>175</v>
      </c>
      <c r="D78" s="137">
        <v>-818.76</v>
      </c>
      <c r="E78" s="137">
        <v>-41.96</v>
      </c>
      <c r="F78" s="137">
        <v>-20.76</v>
      </c>
      <c r="G78" s="137">
        <v>55727.53</v>
      </c>
      <c r="H78" s="137">
        <v>39867.37</v>
      </c>
      <c r="I78" s="137">
        <v>53413.06</v>
      </c>
      <c r="J78" s="168">
        <v>31519.45</v>
      </c>
      <c r="K78" s="137">
        <v>27216.02</v>
      </c>
      <c r="L78" s="137">
        <v>-2627.72</v>
      </c>
      <c r="M78" s="137">
        <v>-791.04</v>
      </c>
      <c r="N78" s="138">
        <f t="shared" si="21"/>
        <v>203443.19</v>
      </c>
    </row>
    <row r="79" spans="1:14" s="24" customFormat="1" ht="12.75">
      <c r="A79" s="497"/>
      <c r="B79" s="471"/>
      <c r="C79" s="128" t="s">
        <v>1</v>
      </c>
      <c r="D79" s="69">
        <v>0</v>
      </c>
      <c r="E79" s="69">
        <v>0</v>
      </c>
      <c r="F79" s="69">
        <v>0</v>
      </c>
      <c r="G79" s="69">
        <v>334916.22</v>
      </c>
      <c r="H79" s="69">
        <v>254127.9</v>
      </c>
      <c r="I79" s="69">
        <v>272088.47</v>
      </c>
      <c r="J79" s="155">
        <v>247913.47</v>
      </c>
      <c r="K79" s="69">
        <v>275611.97</v>
      </c>
      <c r="L79" s="69">
        <v>0</v>
      </c>
      <c r="M79" s="69">
        <v>0</v>
      </c>
      <c r="N79" s="139">
        <f t="shared" si="21"/>
        <v>1384658.0299999998</v>
      </c>
    </row>
    <row r="80" spans="1:14" s="24" customFormat="1" ht="12.75">
      <c r="A80" s="497"/>
      <c r="B80" s="471"/>
      <c r="C80" s="128" t="s">
        <v>2</v>
      </c>
      <c r="D80" s="69">
        <v>0</v>
      </c>
      <c r="E80" s="69">
        <v>0</v>
      </c>
      <c r="F80" s="69">
        <v>0</v>
      </c>
      <c r="G80" s="69">
        <v>349920.16</v>
      </c>
      <c r="H80" s="69">
        <v>263303.5</v>
      </c>
      <c r="I80" s="69">
        <v>291970.05</v>
      </c>
      <c r="J80" s="155">
        <v>244035.41</v>
      </c>
      <c r="K80" s="69">
        <v>280132.76</v>
      </c>
      <c r="L80" s="69">
        <v>0</v>
      </c>
      <c r="M80" s="69">
        <v>0</v>
      </c>
      <c r="N80" s="139">
        <f t="shared" si="21"/>
        <v>1429361.88</v>
      </c>
    </row>
    <row r="81" spans="1:14" s="24" customFormat="1" ht="12.75">
      <c r="A81" s="497"/>
      <c r="B81" s="471"/>
      <c r="C81" s="128" t="s">
        <v>4</v>
      </c>
      <c r="D81" s="69">
        <f>+D79</f>
        <v>0</v>
      </c>
      <c r="E81" s="69">
        <f aca="true" t="shared" si="22" ref="E81:M81">+E79</f>
        <v>0</v>
      </c>
      <c r="F81" s="69">
        <f t="shared" si="22"/>
        <v>0</v>
      </c>
      <c r="G81" s="69">
        <f t="shared" si="22"/>
        <v>334916.22</v>
      </c>
      <c r="H81" s="69">
        <f t="shared" si="22"/>
        <v>254127.9</v>
      </c>
      <c r="I81" s="69">
        <f t="shared" si="22"/>
        <v>272088.47</v>
      </c>
      <c r="J81" s="69">
        <f t="shared" si="22"/>
        <v>247913.47</v>
      </c>
      <c r="K81" s="69">
        <f t="shared" si="22"/>
        <v>275611.97</v>
      </c>
      <c r="L81" s="69">
        <f t="shared" si="22"/>
        <v>0</v>
      </c>
      <c r="M81" s="69">
        <f t="shared" si="22"/>
        <v>0</v>
      </c>
      <c r="N81" s="139">
        <f t="shared" si="21"/>
        <v>1384658.0299999998</v>
      </c>
    </row>
    <row r="82" spans="1:14" s="24" customFormat="1" ht="12.75">
      <c r="A82" s="497"/>
      <c r="B82" s="471"/>
      <c r="C82" s="128" t="s">
        <v>3</v>
      </c>
      <c r="D82" s="133">
        <f>+D80</f>
        <v>0</v>
      </c>
      <c r="E82" s="133">
        <f aca="true" t="shared" si="23" ref="E82:M82">+E80</f>
        <v>0</v>
      </c>
      <c r="F82" s="133">
        <f t="shared" si="23"/>
        <v>0</v>
      </c>
      <c r="G82" s="133">
        <f t="shared" si="23"/>
        <v>349920.16</v>
      </c>
      <c r="H82" s="133">
        <f t="shared" si="23"/>
        <v>263303.5</v>
      </c>
      <c r="I82" s="133">
        <f t="shared" si="23"/>
        <v>291970.05</v>
      </c>
      <c r="J82" s="133">
        <f t="shared" si="23"/>
        <v>244035.41</v>
      </c>
      <c r="K82" s="133">
        <f t="shared" si="23"/>
        <v>280132.76</v>
      </c>
      <c r="L82" s="133">
        <f t="shared" si="23"/>
        <v>0</v>
      </c>
      <c r="M82" s="133">
        <f t="shared" si="23"/>
        <v>0</v>
      </c>
      <c r="N82" s="139">
        <f t="shared" si="21"/>
        <v>1429361.88</v>
      </c>
    </row>
    <row r="83" spans="1:14" s="3" customFormat="1" ht="13.5" thickBot="1">
      <c r="A83" s="497"/>
      <c r="B83" s="472"/>
      <c r="C83" s="140" t="s">
        <v>199</v>
      </c>
      <c r="D83" s="70">
        <f>D78+D79-D80</f>
        <v>-818.76</v>
      </c>
      <c r="E83" s="70">
        <f aca="true" t="shared" si="24" ref="E83:M83">E78+E79-E80</f>
        <v>-41.96</v>
      </c>
      <c r="F83" s="70">
        <f t="shared" si="24"/>
        <v>-20.76</v>
      </c>
      <c r="G83" s="70">
        <f>G78+G79-G80</f>
        <v>40723.590000000026</v>
      </c>
      <c r="H83" s="70">
        <f t="shared" si="24"/>
        <v>30691.77000000002</v>
      </c>
      <c r="I83" s="70">
        <f t="shared" si="24"/>
        <v>33531.47999999998</v>
      </c>
      <c r="J83" s="70">
        <f t="shared" si="24"/>
        <v>35397.50999999998</v>
      </c>
      <c r="K83" s="70">
        <f t="shared" si="24"/>
        <v>22695.22999999998</v>
      </c>
      <c r="L83" s="70">
        <f t="shared" si="24"/>
        <v>-2627.72</v>
      </c>
      <c r="M83" s="70">
        <f t="shared" si="24"/>
        <v>-791.04</v>
      </c>
      <c r="N83" s="141">
        <f t="shared" si="21"/>
        <v>158739.34</v>
      </c>
    </row>
    <row r="84" spans="1:14" s="24" customFormat="1" ht="12.75">
      <c r="A84" s="497"/>
      <c r="B84" s="475" t="s">
        <v>15</v>
      </c>
      <c r="C84" s="135" t="s">
        <v>175</v>
      </c>
      <c r="D84" s="68">
        <v>-71.08</v>
      </c>
      <c r="E84" s="68">
        <v>-8.45</v>
      </c>
      <c r="F84" s="68">
        <v>-8.36</v>
      </c>
      <c r="G84" s="68">
        <f>-0.27+12757.48</f>
        <v>12757.21</v>
      </c>
      <c r="H84" s="68">
        <v>6198.59</v>
      </c>
      <c r="I84" s="68">
        <f>-49.3+8487.78</f>
        <v>8438.480000000001</v>
      </c>
      <c r="J84" s="154">
        <f>525.65+7088.85</f>
        <v>7614.5</v>
      </c>
      <c r="K84" s="68">
        <f>-848.53+4389.54</f>
        <v>3541.01</v>
      </c>
      <c r="L84" s="68">
        <v>-553.57</v>
      </c>
      <c r="M84" s="68">
        <v>-702.36</v>
      </c>
      <c r="N84" s="142">
        <f t="shared" si="21"/>
        <v>37205.97</v>
      </c>
    </row>
    <row r="85" spans="1:14" s="24" customFormat="1" ht="12.75">
      <c r="A85" s="497"/>
      <c r="B85" s="471"/>
      <c r="C85" s="128" t="s">
        <v>1</v>
      </c>
      <c r="D85" s="69">
        <v>71.08</v>
      </c>
      <c r="E85" s="69">
        <v>8.45</v>
      </c>
      <c r="F85" s="69">
        <v>8.36</v>
      </c>
      <c r="G85" s="69">
        <f>0.27+81224.97</f>
        <v>81225.24</v>
      </c>
      <c r="H85" s="69">
        <v>59932.32</v>
      </c>
      <c r="I85" s="69">
        <f>49.3+58880.64</f>
        <v>58929.94</v>
      </c>
      <c r="J85" s="155">
        <f>-525.65+58592.2</f>
        <v>58066.549999999996</v>
      </c>
      <c r="K85" s="69">
        <f>848.53+57869.63</f>
        <v>58718.159999999996</v>
      </c>
      <c r="L85" s="69">
        <v>553.57</v>
      </c>
      <c r="M85" s="69">
        <v>702.38</v>
      </c>
      <c r="N85" s="139">
        <f t="shared" si="21"/>
        <v>318216.05</v>
      </c>
    </row>
    <row r="86" spans="1:14" s="24" customFormat="1" ht="12.75">
      <c r="A86" s="497"/>
      <c r="B86" s="471"/>
      <c r="C86" s="128" t="s">
        <v>2</v>
      </c>
      <c r="D86" s="69">
        <v>0</v>
      </c>
      <c r="E86" s="69">
        <v>0</v>
      </c>
      <c r="F86" s="69">
        <v>0</v>
      </c>
      <c r="G86" s="69">
        <v>85888.69</v>
      </c>
      <c r="H86" s="69">
        <v>61036.26</v>
      </c>
      <c r="I86" s="69">
        <v>60640.58</v>
      </c>
      <c r="J86" s="155">
        <v>58475.83</v>
      </c>
      <c r="K86" s="69">
        <v>58684.6</v>
      </c>
      <c r="L86" s="69">
        <v>0</v>
      </c>
      <c r="M86" s="69">
        <v>0</v>
      </c>
      <c r="N86" s="139">
        <f t="shared" si="21"/>
        <v>324725.96</v>
      </c>
    </row>
    <row r="87" spans="1:14" s="24" customFormat="1" ht="12.75">
      <c r="A87" s="497"/>
      <c r="B87" s="471"/>
      <c r="C87" s="128" t="s">
        <v>4</v>
      </c>
      <c r="D87" s="69">
        <f aca="true" t="shared" si="25" ref="D87:F88">+D85</f>
        <v>71.08</v>
      </c>
      <c r="E87" s="69">
        <f t="shared" si="25"/>
        <v>8.45</v>
      </c>
      <c r="F87" s="69">
        <f t="shared" si="25"/>
        <v>8.36</v>
      </c>
      <c r="G87" s="69">
        <f aca="true" t="shared" si="26" ref="G87:M88">+G85</f>
        <v>81225.24</v>
      </c>
      <c r="H87" s="69">
        <f t="shared" si="26"/>
        <v>59932.32</v>
      </c>
      <c r="I87" s="69">
        <f t="shared" si="26"/>
        <v>58929.94</v>
      </c>
      <c r="J87" s="69">
        <f t="shared" si="26"/>
        <v>58066.549999999996</v>
      </c>
      <c r="K87" s="69">
        <f t="shared" si="26"/>
        <v>58718.159999999996</v>
      </c>
      <c r="L87" s="69">
        <f t="shared" si="26"/>
        <v>553.57</v>
      </c>
      <c r="M87" s="69">
        <f t="shared" si="26"/>
        <v>702.38</v>
      </c>
      <c r="N87" s="139">
        <f t="shared" si="21"/>
        <v>318216.05</v>
      </c>
    </row>
    <row r="88" spans="1:14" s="24" customFormat="1" ht="12.75">
      <c r="A88" s="497"/>
      <c r="B88" s="471"/>
      <c r="C88" s="128" t="s">
        <v>3</v>
      </c>
      <c r="D88" s="133">
        <f t="shared" si="25"/>
        <v>0</v>
      </c>
      <c r="E88" s="133">
        <f t="shared" si="25"/>
        <v>0</v>
      </c>
      <c r="F88" s="133">
        <f t="shared" si="25"/>
        <v>0</v>
      </c>
      <c r="G88" s="133">
        <f t="shared" si="26"/>
        <v>85888.69</v>
      </c>
      <c r="H88" s="133">
        <f t="shared" si="26"/>
        <v>61036.26</v>
      </c>
      <c r="I88" s="133">
        <f t="shared" si="26"/>
        <v>60640.58</v>
      </c>
      <c r="J88" s="133">
        <f t="shared" si="26"/>
        <v>58475.83</v>
      </c>
      <c r="K88" s="133">
        <f t="shared" si="26"/>
        <v>58684.6</v>
      </c>
      <c r="L88" s="133">
        <f t="shared" si="26"/>
        <v>0</v>
      </c>
      <c r="M88" s="133">
        <f t="shared" si="26"/>
        <v>0</v>
      </c>
      <c r="N88" s="139">
        <f t="shared" si="21"/>
        <v>324725.96</v>
      </c>
    </row>
    <row r="89" spans="1:14" s="3" customFormat="1" ht="13.5" thickBot="1">
      <c r="A89" s="497"/>
      <c r="B89" s="472"/>
      <c r="C89" s="140" t="s">
        <v>199</v>
      </c>
      <c r="D89" s="70">
        <f>D84+D85-D86</f>
        <v>0</v>
      </c>
      <c r="E89" s="70">
        <f aca="true" t="shared" si="27" ref="E89:M89">E84+E85-E86</f>
        <v>0</v>
      </c>
      <c r="F89" s="70">
        <f t="shared" si="27"/>
        <v>0</v>
      </c>
      <c r="G89" s="70">
        <f>G84+G85-G86</f>
        <v>8093.760000000009</v>
      </c>
      <c r="H89" s="70">
        <f t="shared" si="27"/>
        <v>5094.6500000000015</v>
      </c>
      <c r="I89" s="70">
        <f t="shared" si="27"/>
        <v>6727.8399999999965</v>
      </c>
      <c r="J89" s="70">
        <f t="shared" si="27"/>
        <v>7205.219999999987</v>
      </c>
      <c r="K89" s="70">
        <f t="shared" si="27"/>
        <v>3574.5699999999997</v>
      </c>
      <c r="L89" s="70">
        <f t="shared" si="27"/>
        <v>0</v>
      </c>
      <c r="M89" s="70">
        <f t="shared" si="27"/>
        <v>0.01999999999998181</v>
      </c>
      <c r="N89" s="141">
        <f t="shared" si="21"/>
        <v>30696.059999999994</v>
      </c>
    </row>
    <row r="90" spans="1:14" s="3" customFormat="1" ht="14.25" customHeight="1" hidden="1" thickBot="1">
      <c r="A90" s="379" t="s">
        <v>17</v>
      </c>
      <c r="B90" s="456" t="s">
        <v>43</v>
      </c>
      <c r="C90" s="135" t="s">
        <v>156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>
        <f t="shared" si="21"/>
        <v>0</v>
      </c>
    </row>
    <row r="91" spans="1:14" s="3" customFormat="1" ht="12.75" customHeight="1" hidden="1">
      <c r="A91" s="379"/>
      <c r="B91" s="467"/>
      <c r="C91" s="128" t="s">
        <v>1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>
        <f t="shared" si="21"/>
        <v>0</v>
      </c>
    </row>
    <row r="92" spans="1:14" s="3" customFormat="1" ht="12.75" customHeight="1" hidden="1">
      <c r="A92" s="379"/>
      <c r="B92" s="467"/>
      <c r="C92" s="128" t="s">
        <v>2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>
        <f t="shared" si="21"/>
        <v>0</v>
      </c>
    </row>
    <row r="93" spans="1:14" s="3" customFormat="1" ht="12.75" customHeight="1" hidden="1">
      <c r="A93" s="379"/>
      <c r="B93" s="467"/>
      <c r="C93" s="128" t="s">
        <v>4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>
        <f t="shared" si="21"/>
        <v>0</v>
      </c>
    </row>
    <row r="94" spans="1:14" s="3" customFormat="1" ht="12.75" customHeight="1" hidden="1">
      <c r="A94" s="379"/>
      <c r="B94" s="467"/>
      <c r="C94" s="128" t="s">
        <v>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80">
        <f t="shared" si="21"/>
        <v>0</v>
      </c>
    </row>
    <row r="95" spans="1:14" s="3" customFormat="1" ht="12.75" customHeight="1" hidden="1">
      <c r="A95" s="379"/>
      <c r="B95" s="467"/>
      <c r="C95" s="15" t="s">
        <v>160</v>
      </c>
      <c r="D95" s="92">
        <f>D90+D91-D92</f>
        <v>0</v>
      </c>
      <c r="E95" s="92"/>
      <c r="F95" s="92"/>
      <c r="G95" s="92"/>
      <c r="H95" s="92"/>
      <c r="I95" s="92"/>
      <c r="J95" s="92"/>
      <c r="K95" s="92"/>
      <c r="L95" s="92"/>
      <c r="M95" s="92"/>
      <c r="N95" s="129">
        <f t="shared" si="21"/>
        <v>0</v>
      </c>
    </row>
    <row r="96" spans="1:14" s="3" customFormat="1" ht="12.75" customHeight="1" hidden="1">
      <c r="A96" s="379"/>
      <c r="B96" s="467" t="s">
        <v>18</v>
      </c>
      <c r="C96" s="128" t="s">
        <v>156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>
        <f t="shared" si="21"/>
        <v>0</v>
      </c>
    </row>
    <row r="97" spans="1:14" s="3" customFormat="1" ht="12.75" customHeight="1" hidden="1">
      <c r="A97" s="379"/>
      <c r="B97" s="467"/>
      <c r="C97" s="128" t="s">
        <v>1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>
        <f t="shared" si="21"/>
        <v>0</v>
      </c>
    </row>
    <row r="98" spans="1:14" s="3" customFormat="1" ht="12.75" customHeight="1" hidden="1">
      <c r="A98" s="379"/>
      <c r="B98" s="467"/>
      <c r="C98" s="128" t="s">
        <v>2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>
        <f t="shared" si="21"/>
        <v>0</v>
      </c>
    </row>
    <row r="99" spans="1:14" s="3" customFormat="1" ht="12.75" customHeight="1" hidden="1">
      <c r="A99" s="379"/>
      <c r="B99" s="467"/>
      <c r="C99" s="128" t="s">
        <v>4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>
        <f t="shared" si="21"/>
        <v>0</v>
      </c>
    </row>
    <row r="100" spans="1:14" s="3" customFormat="1" ht="12.75" customHeight="1" hidden="1">
      <c r="A100" s="379"/>
      <c r="B100" s="467"/>
      <c r="C100" s="128" t="s">
        <v>3</v>
      </c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80">
        <f t="shared" si="21"/>
        <v>0</v>
      </c>
    </row>
    <row r="101" spans="1:14" s="3" customFormat="1" ht="12.75" customHeight="1" hidden="1">
      <c r="A101" s="379"/>
      <c r="B101" s="467"/>
      <c r="C101" s="15" t="s">
        <v>160</v>
      </c>
      <c r="D101" s="92">
        <f>D96+D97-D98</f>
        <v>0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129">
        <f t="shared" si="21"/>
        <v>0</v>
      </c>
    </row>
    <row r="102" spans="1:14" s="3" customFormat="1" ht="12.75" customHeight="1" hidden="1">
      <c r="A102" s="379"/>
      <c r="B102" s="467" t="s">
        <v>19</v>
      </c>
      <c r="C102" s="128" t="s">
        <v>156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>
        <f t="shared" si="21"/>
        <v>0</v>
      </c>
    </row>
    <row r="103" spans="1:14" s="3" customFormat="1" ht="12.75" customHeight="1" hidden="1">
      <c r="A103" s="379"/>
      <c r="B103" s="467"/>
      <c r="C103" s="128" t="s">
        <v>1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>
        <f t="shared" si="21"/>
        <v>0</v>
      </c>
    </row>
    <row r="104" spans="1:14" s="3" customFormat="1" ht="12.75" customHeight="1" hidden="1">
      <c r="A104" s="379"/>
      <c r="B104" s="467"/>
      <c r="C104" s="128" t="s">
        <v>2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>
        <f t="shared" si="21"/>
        <v>0</v>
      </c>
    </row>
    <row r="105" spans="1:14" s="3" customFormat="1" ht="12.75" customHeight="1" hidden="1">
      <c r="A105" s="379"/>
      <c r="B105" s="467"/>
      <c r="C105" s="128" t="s">
        <v>4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>
        <f t="shared" si="21"/>
        <v>0</v>
      </c>
    </row>
    <row r="106" spans="1:14" s="3" customFormat="1" ht="12.75" customHeight="1" hidden="1">
      <c r="A106" s="379"/>
      <c r="B106" s="467"/>
      <c r="C106" s="128" t="s">
        <v>3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80">
        <f t="shared" si="21"/>
        <v>0</v>
      </c>
    </row>
    <row r="107" spans="1:14" s="3" customFormat="1" ht="12.75" customHeight="1" hidden="1">
      <c r="A107" s="379"/>
      <c r="B107" s="454"/>
      <c r="C107" s="16" t="s">
        <v>160</v>
      </c>
      <c r="D107" s="134">
        <f>D102+D103-D104</f>
        <v>0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91">
        <f t="shared" si="21"/>
        <v>0</v>
      </c>
    </row>
    <row r="108" spans="1:14" s="24" customFormat="1" ht="13.5" customHeight="1">
      <c r="A108" s="391"/>
      <c r="B108" s="470" t="s">
        <v>16</v>
      </c>
      <c r="C108" s="136" t="s">
        <v>175</v>
      </c>
      <c r="D108" s="137">
        <v>5501.06</v>
      </c>
      <c r="E108" s="137">
        <v>15889.32</v>
      </c>
      <c r="F108" s="137">
        <v>367.26</v>
      </c>
      <c r="G108" s="137">
        <v>45664.56</v>
      </c>
      <c r="H108" s="137">
        <v>22598.52</v>
      </c>
      <c r="I108" s="137">
        <v>33687.24</v>
      </c>
      <c r="J108" s="168">
        <v>30488.66</v>
      </c>
      <c r="K108" s="137">
        <v>17371.25</v>
      </c>
      <c r="L108" s="137">
        <v>51043.17</v>
      </c>
      <c r="M108" s="137">
        <v>5648.97</v>
      </c>
      <c r="N108" s="138">
        <f t="shared" si="21"/>
        <v>228260.01</v>
      </c>
    </row>
    <row r="109" spans="1:14" s="24" customFormat="1" ht="12.75">
      <c r="A109" s="391"/>
      <c r="B109" s="471"/>
      <c r="C109" s="128" t="s">
        <v>1</v>
      </c>
      <c r="D109" s="69">
        <v>55965.93</v>
      </c>
      <c r="E109" s="69">
        <v>10574</v>
      </c>
      <c r="F109" s="69">
        <v>10674.54</v>
      </c>
      <c r="G109" s="69">
        <v>284283.01</v>
      </c>
      <c r="H109" s="69">
        <v>207216.7</v>
      </c>
      <c r="I109" s="69">
        <v>206361.21</v>
      </c>
      <c r="J109" s="155">
        <v>235049.98</v>
      </c>
      <c r="K109" s="69">
        <v>203876.62</v>
      </c>
      <c r="L109" s="69">
        <v>139939.77</v>
      </c>
      <c r="M109" s="69">
        <v>55046</v>
      </c>
      <c r="N109" s="139">
        <f t="shared" si="21"/>
        <v>1408987.76</v>
      </c>
    </row>
    <row r="110" spans="1:14" s="24" customFormat="1" ht="12.75">
      <c r="A110" s="391"/>
      <c r="B110" s="471"/>
      <c r="C110" s="128" t="s">
        <v>2</v>
      </c>
      <c r="D110" s="69">
        <v>57958.52</v>
      </c>
      <c r="E110" s="69">
        <v>8581</v>
      </c>
      <c r="F110" s="69">
        <v>10806.65</v>
      </c>
      <c r="G110" s="69">
        <v>303889.77</v>
      </c>
      <c r="H110" s="69">
        <v>211872.24</v>
      </c>
      <c r="I110" s="69">
        <v>212765.22</v>
      </c>
      <c r="J110" s="155">
        <v>240404.19</v>
      </c>
      <c r="K110" s="69">
        <v>206599.75</v>
      </c>
      <c r="L110" s="69">
        <v>138963.69</v>
      </c>
      <c r="M110" s="69">
        <v>54660.65</v>
      </c>
      <c r="N110" s="139">
        <f t="shared" si="21"/>
        <v>1446501.68</v>
      </c>
    </row>
    <row r="111" spans="1:14" s="24" customFormat="1" ht="12.75">
      <c r="A111" s="391"/>
      <c r="B111" s="471"/>
      <c r="C111" s="128" t="s">
        <v>4</v>
      </c>
      <c r="D111" s="69">
        <f>+D109</f>
        <v>55965.93</v>
      </c>
      <c r="E111" s="69">
        <f aca="true" t="shared" si="28" ref="E111:M111">+E109</f>
        <v>10574</v>
      </c>
      <c r="F111" s="69">
        <f t="shared" si="28"/>
        <v>10674.54</v>
      </c>
      <c r="G111" s="69">
        <f t="shared" si="28"/>
        <v>284283.01</v>
      </c>
      <c r="H111" s="69">
        <f t="shared" si="28"/>
        <v>207216.7</v>
      </c>
      <c r="I111" s="69">
        <f t="shared" si="28"/>
        <v>206361.21</v>
      </c>
      <c r="J111" s="69">
        <f t="shared" si="28"/>
        <v>235049.98</v>
      </c>
      <c r="K111" s="69">
        <f t="shared" si="28"/>
        <v>203876.62</v>
      </c>
      <c r="L111" s="69">
        <f t="shared" si="28"/>
        <v>139939.77</v>
      </c>
      <c r="M111" s="69">
        <f t="shared" si="28"/>
        <v>55046</v>
      </c>
      <c r="N111" s="139">
        <f t="shared" si="21"/>
        <v>1408987.76</v>
      </c>
    </row>
    <row r="112" spans="1:14" s="24" customFormat="1" ht="12.75">
      <c r="A112" s="391"/>
      <c r="B112" s="471"/>
      <c r="C112" s="128" t="s">
        <v>3</v>
      </c>
      <c r="D112" s="133">
        <f>D111+D108</f>
        <v>61466.99</v>
      </c>
      <c r="E112" s="133">
        <f>+E110</f>
        <v>8581</v>
      </c>
      <c r="F112" s="133">
        <f aca="true" t="shared" si="29" ref="F112:K112">F111+F108</f>
        <v>11041.800000000001</v>
      </c>
      <c r="G112" s="133">
        <f t="shared" si="29"/>
        <v>329947.57</v>
      </c>
      <c r="H112" s="133">
        <f t="shared" si="29"/>
        <v>229815.22</v>
      </c>
      <c r="I112" s="133">
        <f t="shared" si="29"/>
        <v>240048.44999999998</v>
      </c>
      <c r="J112" s="133">
        <f t="shared" si="29"/>
        <v>265538.64</v>
      </c>
      <c r="K112" s="133">
        <f t="shared" si="29"/>
        <v>221247.87</v>
      </c>
      <c r="L112" s="133">
        <v>188794.95</v>
      </c>
      <c r="M112" s="133">
        <f>+M110</f>
        <v>54660.65</v>
      </c>
      <c r="N112" s="139">
        <f t="shared" si="21"/>
        <v>1611143.1400000001</v>
      </c>
    </row>
    <row r="113" spans="1:14" s="3" customFormat="1" ht="13.5" thickBot="1">
      <c r="A113" s="391"/>
      <c r="B113" s="473"/>
      <c r="C113" s="16" t="s">
        <v>199</v>
      </c>
      <c r="D113" s="134">
        <f>D108+D109-D110</f>
        <v>3508.470000000001</v>
      </c>
      <c r="E113" s="134">
        <f aca="true" t="shared" si="30" ref="E113:M113">E108+E109-E110</f>
        <v>17882.32</v>
      </c>
      <c r="F113" s="134">
        <f t="shared" si="30"/>
        <v>235.15000000000146</v>
      </c>
      <c r="G113" s="134">
        <f>G108+G109-G110</f>
        <v>26057.79999999999</v>
      </c>
      <c r="H113" s="134">
        <f t="shared" si="30"/>
        <v>17942.98000000001</v>
      </c>
      <c r="I113" s="134">
        <f t="shared" si="30"/>
        <v>27283.22999999998</v>
      </c>
      <c r="J113" s="134">
        <f t="shared" si="30"/>
        <v>25134.45000000001</v>
      </c>
      <c r="K113" s="134">
        <f t="shared" si="30"/>
        <v>14648.119999999995</v>
      </c>
      <c r="L113" s="134">
        <f t="shared" si="30"/>
        <v>52019.25</v>
      </c>
      <c r="M113" s="134">
        <f t="shared" si="30"/>
        <v>6034.32</v>
      </c>
      <c r="N113" s="146">
        <f t="shared" si="21"/>
        <v>190746.09</v>
      </c>
    </row>
    <row r="114" spans="1:14" ht="13.5" customHeight="1">
      <c r="A114" s="465" t="s">
        <v>188</v>
      </c>
      <c r="B114" s="393"/>
      <c r="C114" s="477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97"/>
    </row>
    <row r="115" spans="1:14" ht="12.75" customHeight="1">
      <c r="A115" s="476"/>
      <c r="B115" s="476"/>
      <c r="C115" s="355" t="s">
        <v>175</v>
      </c>
      <c r="D115" s="116">
        <f>D108+D84+D78+D60+D54+D48+D42+D36+D30+D12+D6</f>
        <v>82274.14</v>
      </c>
      <c r="E115" s="116">
        <f aca="true" t="shared" si="31" ref="E115:N115">E108+E84+E78+E60+E54+E48+E42+E36+E30+E12+E6</f>
        <v>382500.79000000004</v>
      </c>
      <c r="F115" s="116">
        <f t="shared" si="31"/>
        <v>10167.710000000001</v>
      </c>
      <c r="G115" s="116">
        <f t="shared" si="31"/>
        <v>1153655.06</v>
      </c>
      <c r="H115" s="116">
        <f t="shared" si="31"/>
        <v>900959.6399999999</v>
      </c>
      <c r="I115" s="116">
        <f t="shared" si="31"/>
        <v>1171124.3499999999</v>
      </c>
      <c r="J115" s="116">
        <f t="shared" si="31"/>
        <v>755989.8600000001</v>
      </c>
      <c r="K115" s="116">
        <f t="shared" si="31"/>
        <v>699116.2899999999</v>
      </c>
      <c r="L115" s="116">
        <f t="shared" si="31"/>
        <v>1484883.2800000003</v>
      </c>
      <c r="M115" s="116">
        <f t="shared" si="31"/>
        <v>162582.52999999997</v>
      </c>
      <c r="N115" s="116">
        <f t="shared" si="31"/>
        <v>6803253.649999999</v>
      </c>
    </row>
    <row r="116" spans="1:14" ht="12.75">
      <c r="A116" s="377"/>
      <c r="B116" s="377"/>
      <c r="C116" s="132" t="s">
        <v>1</v>
      </c>
      <c r="D116" s="116">
        <f aca="true" t="shared" si="32" ref="D116:N120">D109+D85+D79+D61+D55+D49+D43+D37+D31+D13+D7</f>
        <v>1631000.5000000002</v>
      </c>
      <c r="E116" s="116">
        <f t="shared" si="32"/>
        <v>343027.22</v>
      </c>
      <c r="F116" s="116">
        <f t="shared" si="32"/>
        <v>293012.08</v>
      </c>
      <c r="G116" s="116">
        <f t="shared" si="32"/>
        <v>8459831.340000002</v>
      </c>
      <c r="H116" s="116">
        <f t="shared" si="32"/>
        <v>6190527.9799999995</v>
      </c>
      <c r="I116" s="116">
        <f t="shared" si="32"/>
        <v>6407542.129999999</v>
      </c>
      <c r="J116" s="116">
        <f t="shared" si="32"/>
        <v>6159359.3</v>
      </c>
      <c r="K116" s="116">
        <f t="shared" si="32"/>
        <v>6444001.040000001</v>
      </c>
      <c r="L116" s="116">
        <f t="shared" si="32"/>
        <v>5490991.35</v>
      </c>
      <c r="M116" s="116">
        <f t="shared" si="32"/>
        <v>1558387.4100000001</v>
      </c>
      <c r="N116" s="116">
        <f t="shared" si="32"/>
        <v>42977680.349999994</v>
      </c>
    </row>
    <row r="117" spans="1:14" ht="12.75">
      <c r="A117" s="377"/>
      <c r="B117" s="377"/>
      <c r="C117" s="132" t="s">
        <v>2</v>
      </c>
      <c r="D117" s="116">
        <f t="shared" si="32"/>
        <v>1552262.8300000003</v>
      </c>
      <c r="E117" s="116">
        <f t="shared" si="32"/>
        <v>283799.93</v>
      </c>
      <c r="F117" s="116">
        <f t="shared" si="32"/>
        <v>296991.89</v>
      </c>
      <c r="G117" s="116">
        <f t="shared" si="32"/>
        <v>8475177.749999998</v>
      </c>
      <c r="H117" s="116">
        <f t="shared" si="32"/>
        <v>6333947.69</v>
      </c>
      <c r="I117" s="116">
        <f t="shared" si="32"/>
        <v>6398847.6499999985</v>
      </c>
      <c r="J117" s="116">
        <f t="shared" si="32"/>
        <v>6000234.57</v>
      </c>
      <c r="K117" s="116">
        <f t="shared" si="32"/>
        <v>6377255.77</v>
      </c>
      <c r="L117" s="116">
        <f t="shared" si="32"/>
        <v>5122079.25</v>
      </c>
      <c r="M117" s="116">
        <f t="shared" si="32"/>
        <v>1406987</v>
      </c>
      <c r="N117" s="116">
        <f t="shared" si="32"/>
        <v>42247584.33</v>
      </c>
    </row>
    <row r="118" spans="1:14" ht="12.75">
      <c r="A118" s="377"/>
      <c r="B118" s="377"/>
      <c r="C118" s="132" t="s">
        <v>4</v>
      </c>
      <c r="D118" s="116">
        <f t="shared" si="32"/>
        <v>1631000.5000000002</v>
      </c>
      <c r="E118" s="116">
        <f t="shared" si="32"/>
        <v>343027.22</v>
      </c>
      <c r="F118" s="116">
        <f t="shared" si="32"/>
        <v>293012.08</v>
      </c>
      <c r="G118" s="116">
        <f t="shared" si="32"/>
        <v>8459831.340000002</v>
      </c>
      <c r="H118" s="116">
        <f t="shared" si="32"/>
        <v>6190527.9799999995</v>
      </c>
      <c r="I118" s="116">
        <f t="shared" si="32"/>
        <v>6407542.129999999</v>
      </c>
      <c r="J118" s="116">
        <f t="shared" si="32"/>
        <v>6159359.3</v>
      </c>
      <c r="K118" s="116">
        <f t="shared" si="32"/>
        <v>6444001.040000001</v>
      </c>
      <c r="L118" s="116">
        <f t="shared" si="32"/>
        <v>5490991.35</v>
      </c>
      <c r="M118" s="116">
        <f t="shared" si="32"/>
        <v>1558387.4100000001</v>
      </c>
      <c r="N118" s="116">
        <f t="shared" si="32"/>
        <v>42977680.349999994</v>
      </c>
    </row>
    <row r="119" spans="1:14" ht="12.75">
      <c r="A119" s="377"/>
      <c r="B119" s="377"/>
      <c r="C119" s="132" t="s">
        <v>3</v>
      </c>
      <c r="D119" s="116">
        <f t="shared" si="32"/>
        <v>1571222.2600000002</v>
      </c>
      <c r="E119" s="116">
        <f t="shared" si="32"/>
        <v>283799.93</v>
      </c>
      <c r="F119" s="116">
        <f t="shared" si="32"/>
        <v>303200.55000000005</v>
      </c>
      <c r="G119" s="116">
        <f t="shared" si="32"/>
        <v>8724286.549999999</v>
      </c>
      <c r="H119" s="116">
        <f t="shared" si="32"/>
        <v>6760024.3</v>
      </c>
      <c r="I119" s="116">
        <f t="shared" si="32"/>
        <v>6583073.709999999</v>
      </c>
      <c r="J119" s="116">
        <f t="shared" si="32"/>
        <v>6214911.529999999</v>
      </c>
      <c r="K119" s="116">
        <f t="shared" si="32"/>
        <v>6409417.36</v>
      </c>
      <c r="L119" s="116">
        <f t="shared" si="32"/>
        <v>5171910.51</v>
      </c>
      <c r="M119" s="116">
        <f t="shared" si="32"/>
        <v>1406987</v>
      </c>
      <c r="N119" s="116">
        <f t="shared" si="32"/>
        <v>43428833.699999996</v>
      </c>
    </row>
    <row r="120" spans="1:14" s="4" customFormat="1" ht="13.5" thickBot="1">
      <c r="A120" s="378"/>
      <c r="B120" s="378"/>
      <c r="C120" s="148" t="s">
        <v>199</v>
      </c>
      <c r="D120" s="195">
        <f t="shared" si="32"/>
        <v>161011.81</v>
      </c>
      <c r="E120" s="195">
        <f t="shared" si="32"/>
        <v>441728.07999999996</v>
      </c>
      <c r="F120" s="195">
        <f t="shared" si="32"/>
        <v>6187.900000000014</v>
      </c>
      <c r="G120" s="195">
        <f t="shared" si="32"/>
        <v>1138308.6500000004</v>
      </c>
      <c r="H120" s="195">
        <f t="shared" si="32"/>
        <v>757539.9299999992</v>
      </c>
      <c r="I120" s="195">
        <f t="shared" si="32"/>
        <v>1179818.83</v>
      </c>
      <c r="J120" s="195">
        <f t="shared" si="32"/>
        <v>915114.5900000005</v>
      </c>
      <c r="K120" s="195">
        <f t="shared" si="32"/>
        <v>765861.5599999996</v>
      </c>
      <c r="L120" s="195">
        <f t="shared" si="32"/>
        <v>1853795.38</v>
      </c>
      <c r="M120" s="195">
        <f t="shared" si="32"/>
        <v>313982.94</v>
      </c>
      <c r="N120" s="195">
        <f t="shared" si="32"/>
        <v>7533349.67</v>
      </c>
    </row>
    <row r="121" spans="1:14" s="4" customFormat="1" ht="12.75">
      <c r="A121" s="390" t="s">
        <v>54</v>
      </c>
      <c r="B121" s="470" t="s">
        <v>43</v>
      </c>
      <c r="C121" s="136" t="s">
        <v>175</v>
      </c>
      <c r="D121" s="137">
        <v>24278.95</v>
      </c>
      <c r="E121" s="137">
        <v>56502.27</v>
      </c>
      <c r="F121" s="137">
        <v>1674.25</v>
      </c>
      <c r="G121" s="137">
        <v>222755.3</v>
      </c>
      <c r="H121" s="137">
        <v>99759.66</v>
      </c>
      <c r="I121" s="137">
        <v>147175.74</v>
      </c>
      <c r="J121" s="168">
        <v>111005.18</v>
      </c>
      <c r="K121" s="137">
        <v>76473.43</v>
      </c>
      <c r="L121" s="137">
        <v>219538.46</v>
      </c>
      <c r="M121" s="137">
        <v>24837.66</v>
      </c>
      <c r="N121" s="138">
        <f aca="true" t="shared" si="33" ref="N121:N178">M121+L121+K121+J121+I121+H121+G121+F121+E121+D121</f>
        <v>984000.8999999999</v>
      </c>
    </row>
    <row r="122" spans="1:14" s="4" customFormat="1" ht="12.75">
      <c r="A122" s="391"/>
      <c r="B122" s="471"/>
      <c r="C122" s="128" t="s">
        <v>1</v>
      </c>
      <c r="D122" s="69">
        <v>247705.39</v>
      </c>
      <c r="E122" s="69">
        <v>43067.46</v>
      </c>
      <c r="F122" s="69">
        <v>43369.74</v>
      </c>
      <c r="G122" s="69">
        <v>1218978.92</v>
      </c>
      <c r="H122" s="69">
        <v>917141.42</v>
      </c>
      <c r="I122" s="69">
        <v>912147.11</v>
      </c>
      <c r="J122" s="155">
        <v>907791.19</v>
      </c>
      <c r="K122" s="69">
        <v>902356.07</v>
      </c>
      <c r="L122" s="69">
        <v>638782.81</v>
      </c>
      <c r="M122" s="69">
        <v>243631.4</v>
      </c>
      <c r="N122" s="139">
        <f t="shared" si="33"/>
        <v>6074971.51</v>
      </c>
    </row>
    <row r="123" spans="1:14" s="4" customFormat="1" ht="12.75">
      <c r="A123" s="391"/>
      <c r="B123" s="471"/>
      <c r="C123" s="128" t="s">
        <v>2</v>
      </c>
      <c r="D123" s="69">
        <v>256456.03</v>
      </c>
      <c r="E123" s="69">
        <v>34967.4</v>
      </c>
      <c r="F123" s="69">
        <v>44084.81</v>
      </c>
      <c r="G123" s="69">
        <v>1324365.08</v>
      </c>
      <c r="H123" s="69">
        <v>937525.26</v>
      </c>
      <c r="I123" s="69">
        <v>938945.99</v>
      </c>
      <c r="J123" s="155">
        <v>907748.51</v>
      </c>
      <c r="K123" s="69">
        <v>914036.99</v>
      </c>
      <c r="L123" s="69">
        <v>633057.55</v>
      </c>
      <c r="M123" s="69">
        <v>241775</v>
      </c>
      <c r="N123" s="139">
        <f t="shared" si="33"/>
        <v>6232962.62</v>
      </c>
    </row>
    <row r="124" spans="1:14" s="4" customFormat="1" ht="12.75">
      <c r="A124" s="391"/>
      <c r="B124" s="471"/>
      <c r="C124" s="128" t="s">
        <v>4</v>
      </c>
      <c r="D124" s="164">
        <v>200546.74</v>
      </c>
      <c r="E124" s="164">
        <v>39985.69</v>
      </c>
      <c r="F124" s="164">
        <v>35134.6</v>
      </c>
      <c r="G124" s="164">
        <v>664436.23</v>
      </c>
      <c r="H124" s="164">
        <v>375788.37</v>
      </c>
      <c r="I124" s="164">
        <v>411874.25</v>
      </c>
      <c r="J124" s="164">
        <v>396002.08</v>
      </c>
      <c r="K124" s="164">
        <v>710856.51</v>
      </c>
      <c r="L124" s="164">
        <v>343986.01</v>
      </c>
      <c r="M124" s="164">
        <v>245761.92</v>
      </c>
      <c r="N124" s="321">
        <f t="shared" si="33"/>
        <v>3424372.4000000004</v>
      </c>
    </row>
    <row r="125" spans="1:14" s="4" customFormat="1" ht="12.75">
      <c r="A125" s="391"/>
      <c r="B125" s="471"/>
      <c r="C125" s="128" t="s">
        <v>3</v>
      </c>
      <c r="D125" s="133">
        <f>D124+D121</f>
        <v>224825.69</v>
      </c>
      <c r="E125" s="133">
        <f>E123</f>
        <v>34967.4</v>
      </c>
      <c r="F125" s="133">
        <v>38146.15</v>
      </c>
      <c r="G125" s="133">
        <f aca="true" t="shared" si="34" ref="G125:L125">G124+G121</f>
        <v>887191.53</v>
      </c>
      <c r="H125" s="133">
        <f t="shared" si="34"/>
        <v>475548.03</v>
      </c>
      <c r="I125" s="133">
        <f t="shared" si="34"/>
        <v>559049.99</v>
      </c>
      <c r="J125" s="133">
        <f t="shared" si="34"/>
        <v>507007.26</v>
      </c>
      <c r="K125" s="133">
        <f t="shared" si="34"/>
        <v>787329.94</v>
      </c>
      <c r="L125" s="133">
        <f t="shared" si="34"/>
        <v>563524.47</v>
      </c>
      <c r="M125" s="133">
        <f>M123</f>
        <v>241775</v>
      </c>
      <c r="N125" s="139">
        <f t="shared" si="33"/>
        <v>4319365.460000001</v>
      </c>
    </row>
    <row r="126" spans="1:14" s="3" customFormat="1" ht="13.5" thickBot="1">
      <c r="A126" s="391"/>
      <c r="B126" s="472"/>
      <c r="C126" s="140" t="s">
        <v>199</v>
      </c>
      <c r="D126" s="70">
        <f>D121+D122-D123</f>
        <v>15528.310000000027</v>
      </c>
      <c r="E126" s="70">
        <f aca="true" t="shared" si="35" ref="E126:M126">E121+E122-E123</f>
        <v>64602.329999999994</v>
      </c>
      <c r="F126" s="70">
        <f t="shared" si="35"/>
        <v>959.1800000000003</v>
      </c>
      <c r="G126" s="70">
        <f>G121+G122-G123</f>
        <v>117369.1399999999</v>
      </c>
      <c r="H126" s="70">
        <f t="shared" si="35"/>
        <v>79375.82000000007</v>
      </c>
      <c r="I126" s="70">
        <f t="shared" si="35"/>
        <v>120376.8600000001</v>
      </c>
      <c r="J126" s="70">
        <f t="shared" si="35"/>
        <v>111047.85999999987</v>
      </c>
      <c r="K126" s="70">
        <f t="shared" si="35"/>
        <v>64792.51000000001</v>
      </c>
      <c r="L126" s="70">
        <f t="shared" si="35"/>
        <v>225263.71999999997</v>
      </c>
      <c r="M126" s="70">
        <f t="shared" si="35"/>
        <v>26694.059999999998</v>
      </c>
      <c r="N126" s="141">
        <f t="shared" si="33"/>
        <v>826009.79</v>
      </c>
    </row>
    <row r="127" spans="1:14" s="4" customFormat="1" ht="12.75">
      <c r="A127" s="391"/>
      <c r="B127" s="470" t="s">
        <v>18</v>
      </c>
      <c r="C127" s="136" t="s">
        <v>175</v>
      </c>
      <c r="D127" s="137">
        <v>5024.48</v>
      </c>
      <c r="E127" s="137">
        <v>19072.55</v>
      </c>
      <c r="F127" s="137">
        <v>374.85</v>
      </c>
      <c r="G127" s="137">
        <v>44412.75</v>
      </c>
      <c r="H127" s="137">
        <v>21032.75</v>
      </c>
      <c r="I127" s="137">
        <v>30327.62</v>
      </c>
      <c r="J127" s="168">
        <v>22994.74</v>
      </c>
      <c r="K127" s="137">
        <v>15863.27</v>
      </c>
      <c r="L127" s="137">
        <v>47789.75</v>
      </c>
      <c r="M127" s="137">
        <v>5155.46</v>
      </c>
      <c r="N127" s="138">
        <f t="shared" si="33"/>
        <v>212048.22</v>
      </c>
    </row>
    <row r="128" spans="1:14" s="4" customFormat="1" ht="12.75">
      <c r="A128" s="391"/>
      <c r="B128" s="471"/>
      <c r="C128" s="128" t="s">
        <v>1</v>
      </c>
      <c r="D128" s="69">
        <v>51117.27</v>
      </c>
      <c r="E128" s="69">
        <v>9643.01</v>
      </c>
      <c r="F128" s="69">
        <v>9710.18</v>
      </c>
      <c r="G128" s="69">
        <v>256818.89</v>
      </c>
      <c r="H128" s="69">
        <v>189263.36</v>
      </c>
      <c r="I128" s="69">
        <v>188482.6</v>
      </c>
      <c r="J128" s="155">
        <v>187335.83</v>
      </c>
      <c r="K128" s="69">
        <v>186212.93</v>
      </c>
      <c r="L128" s="69">
        <v>132051.65</v>
      </c>
      <c r="M128" s="69">
        <v>50275.93</v>
      </c>
      <c r="N128" s="139">
        <f t="shared" si="33"/>
        <v>1260911.65</v>
      </c>
    </row>
    <row r="129" spans="1:14" s="4" customFormat="1" ht="12.75">
      <c r="A129" s="391"/>
      <c r="B129" s="471"/>
      <c r="C129" s="128" t="s">
        <v>2</v>
      </c>
      <c r="D129" s="69">
        <v>52937.23</v>
      </c>
      <c r="E129" s="69">
        <v>7829.39</v>
      </c>
      <c r="F129" s="69">
        <v>9870.29</v>
      </c>
      <c r="G129" s="69">
        <v>279001.06</v>
      </c>
      <c r="H129" s="69">
        <v>193909.7</v>
      </c>
      <c r="I129" s="69">
        <v>193960.43</v>
      </c>
      <c r="J129" s="155">
        <v>187409.28</v>
      </c>
      <c r="K129" s="69">
        <v>188697.57</v>
      </c>
      <c r="L129" s="69">
        <v>131020.36</v>
      </c>
      <c r="M129" s="69">
        <v>49920.69</v>
      </c>
      <c r="N129" s="139">
        <f t="shared" si="33"/>
        <v>1294556</v>
      </c>
    </row>
    <row r="130" spans="1:14" s="4" customFormat="1" ht="12.75">
      <c r="A130" s="391"/>
      <c r="B130" s="471"/>
      <c r="C130" s="128" t="s">
        <v>4</v>
      </c>
      <c r="D130" s="69">
        <f>+D128</f>
        <v>51117.27</v>
      </c>
      <c r="E130" s="69">
        <f aca="true" t="shared" si="36" ref="E130:M130">+E128</f>
        <v>9643.01</v>
      </c>
      <c r="F130" s="69">
        <f t="shared" si="36"/>
        <v>9710.18</v>
      </c>
      <c r="G130" s="69">
        <f t="shared" si="36"/>
        <v>256818.89</v>
      </c>
      <c r="H130" s="69">
        <f t="shared" si="36"/>
        <v>189263.36</v>
      </c>
      <c r="I130" s="69">
        <f t="shared" si="36"/>
        <v>188482.6</v>
      </c>
      <c r="J130" s="69">
        <f t="shared" si="36"/>
        <v>187335.83</v>
      </c>
      <c r="K130" s="69">
        <f t="shared" si="36"/>
        <v>186212.93</v>
      </c>
      <c r="L130" s="69">
        <f t="shared" si="36"/>
        <v>132051.65</v>
      </c>
      <c r="M130" s="69">
        <f t="shared" si="36"/>
        <v>50275.93</v>
      </c>
      <c r="N130" s="139">
        <f t="shared" si="33"/>
        <v>1260911.65</v>
      </c>
    </row>
    <row r="131" spans="1:14" s="4" customFormat="1" ht="12.75">
      <c r="A131" s="391"/>
      <c r="B131" s="471"/>
      <c r="C131" s="128" t="s">
        <v>3</v>
      </c>
      <c r="D131" s="133">
        <f>D130+D127</f>
        <v>56141.75</v>
      </c>
      <c r="E131" s="133">
        <f>+E129</f>
        <v>7829.39</v>
      </c>
      <c r="F131" s="133">
        <f aca="true" t="shared" si="37" ref="F131:K131">F130+F127</f>
        <v>10085.03</v>
      </c>
      <c r="G131" s="133">
        <f t="shared" si="37"/>
        <v>301231.64</v>
      </c>
      <c r="H131" s="133">
        <f t="shared" si="37"/>
        <v>210296.11</v>
      </c>
      <c r="I131" s="133">
        <f t="shared" si="37"/>
        <v>218810.22</v>
      </c>
      <c r="J131" s="133">
        <f t="shared" si="37"/>
        <v>210330.56999999998</v>
      </c>
      <c r="K131" s="133">
        <f t="shared" si="37"/>
        <v>202076.19999999998</v>
      </c>
      <c r="L131" s="133">
        <f>+L129</f>
        <v>131020.36</v>
      </c>
      <c r="M131" s="133">
        <f>+M129</f>
        <v>49920.69</v>
      </c>
      <c r="N131" s="139">
        <f t="shared" si="33"/>
        <v>1397741.96</v>
      </c>
    </row>
    <row r="132" spans="1:14" s="3" customFormat="1" ht="13.5" thickBot="1">
      <c r="A132" s="391"/>
      <c r="B132" s="472"/>
      <c r="C132" s="140" t="s">
        <v>199</v>
      </c>
      <c r="D132" s="70">
        <f>D127+D128-D129</f>
        <v>3204.519999999997</v>
      </c>
      <c r="E132" s="70">
        <f aca="true" t="shared" si="38" ref="E132:M132">E127+E128-E129</f>
        <v>20886.17</v>
      </c>
      <c r="F132" s="70">
        <f t="shared" si="38"/>
        <v>214.73999999999978</v>
      </c>
      <c r="G132" s="70">
        <f>G127+G128-G129</f>
        <v>22230.580000000016</v>
      </c>
      <c r="H132" s="70">
        <f t="shared" si="38"/>
        <v>16386.409999999974</v>
      </c>
      <c r="I132" s="70">
        <f t="shared" si="38"/>
        <v>24849.790000000008</v>
      </c>
      <c r="J132" s="70">
        <f t="shared" si="38"/>
        <v>22921.28999999998</v>
      </c>
      <c r="K132" s="70">
        <f t="shared" si="38"/>
        <v>13378.629999999976</v>
      </c>
      <c r="L132" s="70">
        <f t="shared" si="38"/>
        <v>48821.03999999999</v>
      </c>
      <c r="M132" s="70">
        <f t="shared" si="38"/>
        <v>5510.699999999997</v>
      </c>
      <c r="N132" s="141">
        <f t="shared" si="33"/>
        <v>178403.8699999999</v>
      </c>
    </row>
    <row r="133" spans="1:14" s="4" customFormat="1" ht="12.75">
      <c r="A133" s="391"/>
      <c r="B133" s="470" t="s">
        <v>19</v>
      </c>
      <c r="C133" s="136" t="s">
        <v>175</v>
      </c>
      <c r="D133" s="137">
        <v>5818.88</v>
      </c>
      <c r="E133" s="166"/>
      <c r="F133" s="166"/>
      <c r="G133" s="137">
        <v>52757.17</v>
      </c>
      <c r="H133" s="137">
        <v>23966.38</v>
      </c>
      <c r="I133" s="137">
        <v>35457.49</v>
      </c>
      <c r="J133" s="168">
        <v>26707.36</v>
      </c>
      <c r="K133" s="137">
        <v>18378.89</v>
      </c>
      <c r="L133" s="137">
        <v>53270.68</v>
      </c>
      <c r="M133" s="137">
        <v>5980.42</v>
      </c>
      <c r="N133" s="138">
        <f t="shared" si="33"/>
        <v>222337.27000000002</v>
      </c>
    </row>
    <row r="134" spans="1:14" s="4" customFormat="1" ht="12.75">
      <c r="A134" s="391"/>
      <c r="B134" s="471"/>
      <c r="C134" s="128" t="s">
        <v>1</v>
      </c>
      <c r="D134" s="69">
        <v>59199.02</v>
      </c>
      <c r="E134" s="133"/>
      <c r="F134" s="133"/>
      <c r="G134" s="69">
        <v>317715.48</v>
      </c>
      <c r="H134" s="69">
        <v>219186.05</v>
      </c>
      <c r="I134" s="69">
        <v>218281.76</v>
      </c>
      <c r="J134" s="155">
        <v>216952.58</v>
      </c>
      <c r="K134" s="69">
        <v>215653.37</v>
      </c>
      <c r="L134" s="69">
        <v>148023.95</v>
      </c>
      <c r="M134" s="69">
        <v>58224.63</v>
      </c>
      <c r="N134" s="139">
        <f t="shared" si="33"/>
        <v>1453236.84</v>
      </c>
    </row>
    <row r="135" spans="1:14" s="4" customFormat="1" ht="12.75">
      <c r="A135" s="391"/>
      <c r="B135" s="471"/>
      <c r="C135" s="128" t="s">
        <v>2</v>
      </c>
      <c r="D135" s="69">
        <v>61306.77</v>
      </c>
      <c r="E135" s="133"/>
      <c r="F135" s="133"/>
      <c r="G135" s="69">
        <v>341876.15</v>
      </c>
      <c r="H135" s="69">
        <v>224169.86</v>
      </c>
      <c r="I135" s="69">
        <v>224851.63</v>
      </c>
      <c r="J135" s="155">
        <v>217068.16</v>
      </c>
      <c r="K135" s="69">
        <v>218538.14</v>
      </c>
      <c r="L135" s="69">
        <v>146965.8</v>
      </c>
      <c r="M135" s="69">
        <v>57821.21</v>
      </c>
      <c r="N135" s="139">
        <f t="shared" si="33"/>
        <v>1492597.7200000002</v>
      </c>
    </row>
    <row r="136" spans="1:14" s="4" customFormat="1" ht="12.75">
      <c r="A136" s="391"/>
      <c r="B136" s="471"/>
      <c r="C136" s="128" t="s">
        <v>4</v>
      </c>
      <c r="D136" s="69">
        <f>+D134</f>
        <v>59199.02</v>
      </c>
      <c r="E136" s="69"/>
      <c r="F136" s="69"/>
      <c r="G136" s="69">
        <f aca="true" t="shared" si="39" ref="G136:M136">+G134</f>
        <v>317715.48</v>
      </c>
      <c r="H136" s="69">
        <f t="shared" si="39"/>
        <v>219186.05</v>
      </c>
      <c r="I136" s="69">
        <f t="shared" si="39"/>
        <v>218281.76</v>
      </c>
      <c r="J136" s="69">
        <f t="shared" si="39"/>
        <v>216952.58</v>
      </c>
      <c r="K136" s="69">
        <f t="shared" si="39"/>
        <v>215653.37</v>
      </c>
      <c r="L136" s="69">
        <f t="shared" si="39"/>
        <v>148023.95</v>
      </c>
      <c r="M136" s="69">
        <f t="shared" si="39"/>
        <v>58224.63</v>
      </c>
      <c r="N136" s="139">
        <f t="shared" si="33"/>
        <v>1453236.84</v>
      </c>
    </row>
    <row r="137" spans="1:14" s="4" customFormat="1" ht="12.75">
      <c r="A137" s="391"/>
      <c r="B137" s="471"/>
      <c r="C137" s="128" t="s">
        <v>3</v>
      </c>
      <c r="D137" s="133">
        <f>D136+D133</f>
        <v>65017.899999999994</v>
      </c>
      <c r="E137" s="133"/>
      <c r="F137" s="133"/>
      <c r="G137" s="133">
        <f>G136+G133</f>
        <v>370472.64999999997</v>
      </c>
      <c r="H137" s="133">
        <f>H136+H133</f>
        <v>243152.43</v>
      </c>
      <c r="I137" s="133">
        <f>I136+I133</f>
        <v>253739.25</v>
      </c>
      <c r="J137" s="133">
        <f>J136+J133</f>
        <v>243659.94</v>
      </c>
      <c r="K137" s="133">
        <f>K136+K133</f>
        <v>234032.26</v>
      </c>
      <c r="L137" s="133">
        <f>+L135</f>
        <v>146965.8</v>
      </c>
      <c r="M137" s="133">
        <f>+M135</f>
        <v>57821.21</v>
      </c>
      <c r="N137" s="139">
        <f t="shared" si="33"/>
        <v>1614861.4399999997</v>
      </c>
    </row>
    <row r="138" spans="1:14" s="3" customFormat="1" ht="13.5" thickBot="1">
      <c r="A138" s="391"/>
      <c r="B138" s="472"/>
      <c r="C138" s="140" t="s">
        <v>199</v>
      </c>
      <c r="D138" s="70">
        <f aca="true" t="shared" si="40" ref="D138:M138">D133+D134-D135</f>
        <v>3711.1299999999974</v>
      </c>
      <c r="E138" s="70">
        <f t="shared" si="40"/>
        <v>0</v>
      </c>
      <c r="F138" s="70">
        <f t="shared" si="40"/>
        <v>0</v>
      </c>
      <c r="G138" s="70">
        <f t="shared" si="40"/>
        <v>28596.49999999994</v>
      </c>
      <c r="H138" s="70">
        <f t="shared" si="40"/>
        <v>18982.570000000007</v>
      </c>
      <c r="I138" s="70">
        <f t="shared" si="40"/>
        <v>28887.619999999995</v>
      </c>
      <c r="J138" s="70">
        <f t="shared" si="40"/>
        <v>26591.78</v>
      </c>
      <c r="K138" s="70">
        <f t="shared" si="40"/>
        <v>15494.119999999995</v>
      </c>
      <c r="L138" s="70">
        <f t="shared" si="40"/>
        <v>54328.830000000016</v>
      </c>
      <c r="M138" s="70">
        <f t="shared" si="40"/>
        <v>6383.8399999999965</v>
      </c>
      <c r="N138" s="141">
        <f t="shared" si="33"/>
        <v>182976.38999999996</v>
      </c>
    </row>
    <row r="139" spans="1:14" s="24" customFormat="1" ht="12.75" customHeight="1" hidden="1" thickBot="1">
      <c r="A139" s="379"/>
      <c r="B139" s="456" t="s">
        <v>40</v>
      </c>
      <c r="C139" s="135" t="s">
        <v>156</v>
      </c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79">
        <f t="shared" si="33"/>
        <v>0</v>
      </c>
    </row>
    <row r="140" spans="1:14" s="24" customFormat="1" ht="12.75" customHeight="1" hidden="1">
      <c r="A140" s="379"/>
      <c r="B140" s="467"/>
      <c r="C140" s="128" t="s">
        <v>1</v>
      </c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80">
        <f t="shared" si="33"/>
        <v>0</v>
      </c>
    </row>
    <row r="141" spans="1:14" s="24" customFormat="1" ht="12.75" customHeight="1" hidden="1">
      <c r="A141" s="379"/>
      <c r="B141" s="467"/>
      <c r="C141" s="128" t="s">
        <v>2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80">
        <f t="shared" si="33"/>
        <v>0</v>
      </c>
    </row>
    <row r="142" spans="1:14" s="24" customFormat="1" ht="12.75" customHeight="1" hidden="1">
      <c r="A142" s="379"/>
      <c r="B142" s="467"/>
      <c r="C142" s="128" t="s">
        <v>4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80">
        <f t="shared" si="33"/>
        <v>0</v>
      </c>
    </row>
    <row r="143" spans="1:14" s="24" customFormat="1" ht="12.75" customHeight="1" hidden="1">
      <c r="A143" s="379"/>
      <c r="B143" s="467"/>
      <c r="C143" s="128" t="s">
        <v>3</v>
      </c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80">
        <f t="shared" si="33"/>
        <v>0</v>
      </c>
    </row>
    <row r="144" spans="1:14" s="3" customFormat="1" ht="12.75" customHeight="1" hidden="1">
      <c r="A144" s="379"/>
      <c r="B144" s="467"/>
      <c r="C144" s="15" t="s">
        <v>160</v>
      </c>
      <c r="D144" s="92">
        <f>D139+D140-D141</f>
        <v>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129">
        <f t="shared" si="33"/>
        <v>0</v>
      </c>
    </row>
    <row r="145" spans="1:14" s="24" customFormat="1" ht="13.5" customHeight="1" hidden="1" thickBot="1">
      <c r="A145" s="379"/>
      <c r="B145" s="467" t="s">
        <v>18</v>
      </c>
      <c r="C145" s="128" t="s">
        <v>156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80">
        <f t="shared" si="33"/>
        <v>0</v>
      </c>
    </row>
    <row r="146" spans="1:14" s="24" customFormat="1" ht="13.5" customHeight="1" hidden="1" thickBot="1">
      <c r="A146" s="379"/>
      <c r="B146" s="467"/>
      <c r="C146" s="128" t="s">
        <v>1</v>
      </c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80">
        <f t="shared" si="33"/>
        <v>0</v>
      </c>
    </row>
    <row r="147" spans="1:14" s="24" customFormat="1" ht="13.5" customHeight="1" hidden="1" thickBot="1">
      <c r="A147" s="379"/>
      <c r="B147" s="467"/>
      <c r="C147" s="128" t="s">
        <v>2</v>
      </c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80">
        <f t="shared" si="33"/>
        <v>0</v>
      </c>
    </row>
    <row r="148" spans="1:14" s="24" customFormat="1" ht="13.5" customHeight="1" hidden="1" thickBot="1">
      <c r="A148" s="379"/>
      <c r="B148" s="467"/>
      <c r="C148" s="128" t="s">
        <v>4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80">
        <f t="shared" si="33"/>
        <v>0</v>
      </c>
    </row>
    <row r="149" spans="1:14" s="24" customFormat="1" ht="13.5" customHeight="1" hidden="1" thickBot="1">
      <c r="A149" s="379"/>
      <c r="B149" s="467"/>
      <c r="C149" s="128" t="s">
        <v>3</v>
      </c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80">
        <f t="shared" si="33"/>
        <v>0</v>
      </c>
    </row>
    <row r="150" spans="1:14" s="3" customFormat="1" ht="13.5" customHeight="1" hidden="1" thickBot="1">
      <c r="A150" s="379"/>
      <c r="B150" s="467"/>
      <c r="C150" s="15" t="s">
        <v>160</v>
      </c>
      <c r="D150" s="92">
        <f>D145+D146-D147</f>
        <v>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129">
        <f t="shared" si="33"/>
        <v>0</v>
      </c>
    </row>
    <row r="151" spans="1:14" s="24" customFormat="1" ht="13.5" customHeight="1" hidden="1" thickBot="1">
      <c r="A151" s="379"/>
      <c r="B151" s="467" t="s">
        <v>19</v>
      </c>
      <c r="C151" s="128" t="s">
        <v>156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80">
        <f t="shared" si="33"/>
        <v>0</v>
      </c>
    </row>
    <row r="152" spans="1:14" s="24" customFormat="1" ht="13.5" customHeight="1" hidden="1" thickBot="1">
      <c r="A152" s="379"/>
      <c r="B152" s="467"/>
      <c r="C152" s="128" t="s">
        <v>1</v>
      </c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80">
        <f t="shared" si="33"/>
        <v>0</v>
      </c>
    </row>
    <row r="153" spans="1:14" s="24" customFormat="1" ht="13.5" customHeight="1" hidden="1" thickBot="1">
      <c r="A153" s="379"/>
      <c r="B153" s="467"/>
      <c r="C153" s="128" t="s">
        <v>2</v>
      </c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80">
        <f t="shared" si="33"/>
        <v>0</v>
      </c>
    </row>
    <row r="154" spans="1:14" s="24" customFormat="1" ht="13.5" customHeight="1" hidden="1" thickBot="1">
      <c r="A154" s="379"/>
      <c r="B154" s="467"/>
      <c r="C154" s="128" t="s">
        <v>4</v>
      </c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80">
        <f t="shared" si="33"/>
        <v>0</v>
      </c>
    </row>
    <row r="155" spans="1:14" s="24" customFormat="1" ht="13.5" customHeight="1" hidden="1" thickBot="1">
      <c r="A155" s="379"/>
      <c r="B155" s="467"/>
      <c r="C155" s="128" t="s">
        <v>3</v>
      </c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80">
        <f t="shared" si="33"/>
        <v>0</v>
      </c>
    </row>
    <row r="156" spans="1:14" s="3" customFormat="1" ht="13.5" customHeight="1" hidden="1" thickBot="1">
      <c r="A156" s="379"/>
      <c r="B156" s="467"/>
      <c r="C156" s="15" t="s">
        <v>160</v>
      </c>
      <c r="D156" s="92">
        <f>D151+D152-D153</f>
        <v>0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129">
        <f t="shared" si="33"/>
        <v>0</v>
      </c>
    </row>
    <row r="157" spans="1:14" s="24" customFormat="1" ht="12.75" customHeight="1" hidden="1">
      <c r="A157" s="379" t="s">
        <v>20</v>
      </c>
      <c r="B157" s="467" t="s">
        <v>21</v>
      </c>
      <c r="C157" s="128" t="s">
        <v>156</v>
      </c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80">
        <f t="shared" si="33"/>
        <v>0</v>
      </c>
    </row>
    <row r="158" spans="1:14" s="24" customFormat="1" ht="12.75" customHeight="1" hidden="1">
      <c r="A158" s="379"/>
      <c r="B158" s="467"/>
      <c r="C158" s="128" t="s">
        <v>1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80">
        <f t="shared" si="33"/>
        <v>0</v>
      </c>
    </row>
    <row r="159" spans="1:14" s="24" customFormat="1" ht="12.75" customHeight="1" hidden="1">
      <c r="A159" s="379"/>
      <c r="B159" s="467"/>
      <c r="C159" s="128" t="s">
        <v>2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80">
        <f t="shared" si="33"/>
        <v>0</v>
      </c>
    </row>
    <row r="160" spans="1:14" s="24" customFormat="1" ht="12.75" customHeight="1" hidden="1">
      <c r="A160" s="379"/>
      <c r="B160" s="467"/>
      <c r="C160" s="128" t="s">
        <v>4</v>
      </c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80">
        <f t="shared" si="33"/>
        <v>0</v>
      </c>
    </row>
    <row r="161" spans="1:14" s="24" customFormat="1" ht="12.75" customHeight="1" hidden="1">
      <c r="A161" s="379"/>
      <c r="B161" s="467"/>
      <c r="C161" s="128" t="s">
        <v>3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80">
        <f t="shared" si="33"/>
        <v>0</v>
      </c>
    </row>
    <row r="162" spans="1:14" s="3" customFormat="1" ht="12.75" customHeight="1" hidden="1">
      <c r="A162" s="379"/>
      <c r="B162" s="467"/>
      <c r="C162" s="15" t="s">
        <v>160</v>
      </c>
      <c r="D162" s="92">
        <f>D157+D158-D159</f>
        <v>0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129">
        <f t="shared" si="33"/>
        <v>0</v>
      </c>
    </row>
    <row r="163" spans="1:14" s="24" customFormat="1" ht="12.75" customHeight="1" hidden="1" thickBot="1">
      <c r="A163" s="379" t="s">
        <v>22</v>
      </c>
      <c r="B163" s="467" t="s">
        <v>21</v>
      </c>
      <c r="C163" s="128" t="s">
        <v>156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80">
        <f t="shared" si="33"/>
        <v>0</v>
      </c>
    </row>
    <row r="164" spans="1:14" s="24" customFormat="1" ht="13.5" customHeight="1" hidden="1" thickBot="1">
      <c r="A164" s="379"/>
      <c r="B164" s="467"/>
      <c r="C164" s="128" t="s">
        <v>1</v>
      </c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80">
        <f t="shared" si="33"/>
        <v>0</v>
      </c>
    </row>
    <row r="165" spans="1:14" s="24" customFormat="1" ht="13.5" customHeight="1" hidden="1" thickBot="1">
      <c r="A165" s="379"/>
      <c r="B165" s="467"/>
      <c r="C165" s="128" t="s">
        <v>2</v>
      </c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80">
        <f t="shared" si="33"/>
        <v>0</v>
      </c>
    </row>
    <row r="166" spans="1:14" s="24" customFormat="1" ht="13.5" customHeight="1" hidden="1" thickBot="1">
      <c r="A166" s="379"/>
      <c r="B166" s="467"/>
      <c r="C166" s="128" t="s">
        <v>4</v>
      </c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80">
        <f t="shared" si="33"/>
        <v>0</v>
      </c>
    </row>
    <row r="167" spans="1:14" s="24" customFormat="1" ht="13.5" customHeight="1" hidden="1" thickBot="1">
      <c r="A167" s="379"/>
      <c r="B167" s="467"/>
      <c r="C167" s="128" t="s">
        <v>3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80">
        <f t="shared" si="33"/>
        <v>0</v>
      </c>
    </row>
    <row r="168" spans="1:14" s="3" customFormat="1" ht="13.5" customHeight="1" hidden="1" thickBot="1">
      <c r="A168" s="379"/>
      <c r="B168" s="454"/>
      <c r="C168" s="16" t="s">
        <v>160</v>
      </c>
      <c r="D168" s="134">
        <f>D163+D164-D165</f>
        <v>0</v>
      </c>
      <c r="E168" s="134"/>
      <c r="F168" s="134"/>
      <c r="G168" s="134"/>
      <c r="H168" s="134"/>
      <c r="I168" s="134"/>
      <c r="J168" s="134"/>
      <c r="K168" s="134"/>
      <c r="L168" s="134"/>
      <c r="M168" s="134"/>
      <c r="N168" s="91">
        <f t="shared" si="33"/>
        <v>0</v>
      </c>
    </row>
    <row r="169" spans="1:14" s="3" customFormat="1" ht="13.5" customHeight="1">
      <c r="A169" s="391" t="s">
        <v>142</v>
      </c>
      <c r="B169" s="470" t="s">
        <v>165</v>
      </c>
      <c r="C169" s="136" t="s">
        <v>175</v>
      </c>
      <c r="D169" s="168">
        <f>-0.2+317.71</f>
        <v>317.51</v>
      </c>
      <c r="E169" s="168"/>
      <c r="F169" s="168"/>
      <c r="G169" s="168">
        <f>16.58+2188.94</f>
        <v>2205.52</v>
      </c>
      <c r="H169" s="168">
        <f>-593.34+1245.07</f>
        <v>651.7299999999999</v>
      </c>
      <c r="I169" s="168">
        <f>192.77+1994.79</f>
        <v>2187.56</v>
      </c>
      <c r="J169" s="168">
        <f>-557.33+1506.1</f>
        <v>948.7699999999999</v>
      </c>
      <c r="K169" s="168">
        <f>-401.13+1003.42</f>
        <v>602.29</v>
      </c>
      <c r="L169" s="168">
        <f>208.51+2901</f>
        <v>3109.51</v>
      </c>
      <c r="M169" s="168">
        <f>-0.3+331.88</f>
        <v>331.58</v>
      </c>
      <c r="N169" s="138">
        <f t="shared" si="33"/>
        <v>10354.47</v>
      </c>
    </row>
    <row r="170" spans="1:14" s="3" customFormat="1" ht="13.5" customHeight="1">
      <c r="A170" s="391"/>
      <c r="B170" s="471"/>
      <c r="C170" s="128" t="s">
        <v>1</v>
      </c>
      <c r="D170" s="155">
        <f>0.2+3232.39</f>
        <v>3232.5899999999997</v>
      </c>
      <c r="E170" s="155"/>
      <c r="F170" s="155"/>
      <c r="G170" s="155">
        <f>99.08+16746.71</f>
        <v>16845.79</v>
      </c>
      <c r="H170" s="155">
        <f>776.87+11970.07</f>
        <v>12746.94</v>
      </c>
      <c r="I170" s="155">
        <f>87.41+11920.05</f>
        <v>12007.46</v>
      </c>
      <c r="J170" s="155">
        <f>557.58+11847.56</f>
        <v>12405.14</v>
      </c>
      <c r="K170" s="155">
        <f>401.69+11776.13</f>
        <v>12177.82</v>
      </c>
      <c r="L170" s="155">
        <f>-166.46+8350.18</f>
        <v>8183.72</v>
      </c>
      <c r="M170" s="155">
        <f>-0.03+3179.72</f>
        <v>3179.6899999999996</v>
      </c>
      <c r="N170" s="139">
        <f t="shared" si="33"/>
        <v>80779.15</v>
      </c>
    </row>
    <row r="171" spans="1:14" s="3" customFormat="1" ht="13.5" customHeight="1">
      <c r="A171" s="391"/>
      <c r="B171" s="471"/>
      <c r="C171" s="128" t="s">
        <v>2</v>
      </c>
      <c r="D171" s="155">
        <v>3347.46</v>
      </c>
      <c r="E171" s="155"/>
      <c r="F171" s="155"/>
      <c r="G171" s="155">
        <f>115.66+17278.45</f>
        <v>17394.11</v>
      </c>
      <c r="H171" s="155">
        <f>183.53+12174.75</f>
        <v>12358.28</v>
      </c>
      <c r="I171" s="155">
        <f>280.18+12271.74</f>
        <v>12551.92</v>
      </c>
      <c r="J171" s="155">
        <f>0.25+11871.9</f>
        <v>11872.15</v>
      </c>
      <c r="K171" s="155">
        <f>0.56+11933.4</f>
        <v>11933.96</v>
      </c>
      <c r="L171" s="155">
        <f>42.05+8366.63</f>
        <v>8408.679999999998</v>
      </c>
      <c r="M171" s="155">
        <f>0.27+3161.98</f>
        <v>3162.25</v>
      </c>
      <c r="N171" s="139">
        <f t="shared" si="33"/>
        <v>81028.81000000001</v>
      </c>
    </row>
    <row r="172" spans="1:14" s="3" customFormat="1" ht="13.5" customHeight="1">
      <c r="A172" s="391"/>
      <c r="B172" s="471"/>
      <c r="C172" s="128" t="s">
        <v>4</v>
      </c>
      <c r="D172" s="69">
        <f>+D170</f>
        <v>3232.5899999999997</v>
      </c>
      <c r="E172" s="69"/>
      <c r="F172" s="69"/>
      <c r="G172" s="69">
        <f aca="true" t="shared" si="41" ref="G172:M172">+G170</f>
        <v>16845.79</v>
      </c>
      <c r="H172" s="69">
        <f t="shared" si="41"/>
        <v>12746.94</v>
      </c>
      <c r="I172" s="69">
        <f t="shared" si="41"/>
        <v>12007.46</v>
      </c>
      <c r="J172" s="69">
        <f t="shared" si="41"/>
        <v>12405.14</v>
      </c>
      <c r="K172" s="69">
        <f t="shared" si="41"/>
        <v>12177.82</v>
      </c>
      <c r="L172" s="69">
        <f t="shared" si="41"/>
        <v>8183.72</v>
      </c>
      <c r="M172" s="69">
        <f t="shared" si="41"/>
        <v>3179.6899999999996</v>
      </c>
      <c r="N172" s="139">
        <f t="shared" si="33"/>
        <v>80779.15</v>
      </c>
    </row>
    <row r="173" spans="1:14" s="3" customFormat="1" ht="13.5" customHeight="1">
      <c r="A173" s="391"/>
      <c r="B173" s="471"/>
      <c r="C173" s="128" t="s">
        <v>3</v>
      </c>
      <c r="D173" s="133">
        <f>+D171</f>
        <v>3347.46</v>
      </c>
      <c r="E173" s="133"/>
      <c r="F173" s="133"/>
      <c r="G173" s="133">
        <f>G172+G169</f>
        <v>19051.31</v>
      </c>
      <c r="H173" s="133">
        <f aca="true" t="shared" si="42" ref="H173:M173">+H171</f>
        <v>12358.28</v>
      </c>
      <c r="I173" s="133">
        <f>I172+I169</f>
        <v>14195.019999999999</v>
      </c>
      <c r="J173" s="133">
        <f>J172+J169</f>
        <v>13353.91</v>
      </c>
      <c r="K173" s="133">
        <f>K172+K169</f>
        <v>12780.11</v>
      </c>
      <c r="L173" s="133">
        <f t="shared" si="42"/>
        <v>8408.679999999998</v>
      </c>
      <c r="M173" s="133">
        <f t="shared" si="42"/>
        <v>3162.25</v>
      </c>
      <c r="N173" s="139">
        <f t="shared" si="33"/>
        <v>86657.02</v>
      </c>
    </row>
    <row r="174" spans="1:14" s="3" customFormat="1" ht="13.5" customHeight="1" thickBot="1">
      <c r="A174" s="391"/>
      <c r="B174" s="472"/>
      <c r="C174" s="140" t="s">
        <v>199</v>
      </c>
      <c r="D174" s="70">
        <f aca="true" t="shared" si="43" ref="D174:M174">D169+D170-D171</f>
        <v>202.63999999999942</v>
      </c>
      <c r="E174" s="70"/>
      <c r="F174" s="70"/>
      <c r="G174" s="70">
        <f t="shared" si="43"/>
        <v>1657.2000000000007</v>
      </c>
      <c r="H174" s="70">
        <f t="shared" si="43"/>
        <v>1040.3899999999994</v>
      </c>
      <c r="I174" s="70">
        <f t="shared" si="43"/>
        <v>1643.0999999999985</v>
      </c>
      <c r="J174" s="70">
        <f t="shared" si="43"/>
        <v>1481.7600000000002</v>
      </c>
      <c r="K174" s="70">
        <f t="shared" si="43"/>
        <v>846.1500000000015</v>
      </c>
      <c r="L174" s="70">
        <f t="shared" si="43"/>
        <v>2884.550000000001</v>
      </c>
      <c r="M174" s="70">
        <f t="shared" si="43"/>
        <v>349.0199999999995</v>
      </c>
      <c r="N174" s="141">
        <f t="shared" si="33"/>
        <v>10104.810000000001</v>
      </c>
    </row>
    <row r="175" spans="1:14" s="3" customFormat="1" ht="13.5" customHeight="1">
      <c r="A175" s="391"/>
      <c r="B175" s="470" t="s">
        <v>152</v>
      </c>
      <c r="C175" s="136" t="s">
        <v>175</v>
      </c>
      <c r="D175" s="167">
        <v>933.35</v>
      </c>
      <c r="E175" s="167"/>
      <c r="F175" s="167"/>
      <c r="G175" s="167">
        <v>6412</v>
      </c>
      <c r="H175" s="167">
        <v>3639.63</v>
      </c>
      <c r="I175" s="167">
        <v>5814.96</v>
      </c>
      <c r="J175" s="167">
        <v>4413.53</v>
      </c>
      <c r="K175" s="167">
        <v>2951.02</v>
      </c>
      <c r="L175" s="167">
        <v>8444.18</v>
      </c>
      <c r="M175" s="167">
        <v>973.14</v>
      </c>
      <c r="N175" s="138">
        <f t="shared" si="33"/>
        <v>33581.81</v>
      </c>
    </row>
    <row r="176" spans="1:14" s="3" customFormat="1" ht="13.5" customHeight="1">
      <c r="A176" s="391"/>
      <c r="B176" s="471"/>
      <c r="C176" s="128" t="s">
        <v>1</v>
      </c>
      <c r="D176" s="155">
        <v>9495.66</v>
      </c>
      <c r="E176" s="80"/>
      <c r="F176" s="80"/>
      <c r="G176" s="155">
        <v>48981.66</v>
      </c>
      <c r="H176" s="155">
        <v>34382.49</v>
      </c>
      <c r="I176" s="155">
        <v>34926.55</v>
      </c>
      <c r="J176" s="155">
        <f>34242.91</f>
        <v>34242.91</v>
      </c>
      <c r="K176" s="155">
        <v>34190.93</v>
      </c>
      <c r="L176" s="155">
        <v>24696.08</v>
      </c>
      <c r="M176" s="155">
        <v>9340.22</v>
      </c>
      <c r="N176" s="139">
        <f t="shared" si="33"/>
        <v>230256.5</v>
      </c>
    </row>
    <row r="177" spans="1:14" s="3" customFormat="1" ht="13.5" customHeight="1">
      <c r="A177" s="391"/>
      <c r="B177" s="471"/>
      <c r="C177" s="128" t="s">
        <v>2</v>
      </c>
      <c r="D177" s="155">
        <v>9833.89</v>
      </c>
      <c r="E177" s="80"/>
      <c r="F177" s="80"/>
      <c r="G177" s="155">
        <v>50732.84</v>
      </c>
      <c r="H177" s="155">
        <v>35617.85</v>
      </c>
      <c r="I177" s="155">
        <v>35946.18</v>
      </c>
      <c r="J177" s="155">
        <v>34739.24</v>
      </c>
      <c r="K177" s="155">
        <v>34998.41</v>
      </c>
      <c r="L177" s="155">
        <v>24467.58</v>
      </c>
      <c r="M177" s="155">
        <v>9286.6</v>
      </c>
      <c r="N177" s="139">
        <f t="shared" si="33"/>
        <v>235622.58999999997</v>
      </c>
    </row>
    <row r="178" spans="1:14" s="3" customFormat="1" ht="13.5" customHeight="1">
      <c r="A178" s="391"/>
      <c r="B178" s="471"/>
      <c r="C178" s="128" t="s">
        <v>4</v>
      </c>
      <c r="D178" s="69">
        <f>+D176</f>
        <v>9495.66</v>
      </c>
      <c r="E178" s="69"/>
      <c r="F178" s="69"/>
      <c r="G178" s="69">
        <f aca="true" t="shared" si="44" ref="G178:M178">+G176</f>
        <v>48981.66</v>
      </c>
      <c r="H178" s="69">
        <f t="shared" si="44"/>
        <v>34382.49</v>
      </c>
      <c r="I178" s="69">
        <f t="shared" si="44"/>
        <v>34926.55</v>
      </c>
      <c r="J178" s="69">
        <f t="shared" si="44"/>
        <v>34242.91</v>
      </c>
      <c r="K178" s="69">
        <f t="shared" si="44"/>
        <v>34190.93</v>
      </c>
      <c r="L178" s="69">
        <f t="shared" si="44"/>
        <v>24696.08</v>
      </c>
      <c r="M178" s="69">
        <f t="shared" si="44"/>
        <v>9340.22</v>
      </c>
      <c r="N178" s="139">
        <f t="shared" si="33"/>
        <v>230256.5</v>
      </c>
    </row>
    <row r="179" spans="1:14" s="3" customFormat="1" ht="13.5" customHeight="1">
      <c r="A179" s="391"/>
      <c r="B179" s="471"/>
      <c r="C179" s="128" t="s">
        <v>3</v>
      </c>
      <c r="D179" s="133">
        <f>+D177</f>
        <v>9833.89</v>
      </c>
      <c r="E179" s="133"/>
      <c r="F179" s="133"/>
      <c r="G179" s="133">
        <f>G178+G175</f>
        <v>55393.66</v>
      </c>
      <c r="H179" s="133">
        <f>H178+H175</f>
        <v>38022.119999999995</v>
      </c>
      <c r="I179" s="133">
        <f>I178+I175</f>
        <v>40741.51</v>
      </c>
      <c r="J179" s="133">
        <f>J178+J175</f>
        <v>38656.44</v>
      </c>
      <c r="K179" s="133">
        <f>K178+K175</f>
        <v>37141.95</v>
      </c>
      <c r="L179" s="133">
        <f>+L177</f>
        <v>24467.58</v>
      </c>
      <c r="M179" s="133">
        <f>+M177</f>
        <v>9286.6</v>
      </c>
      <c r="N179" s="139">
        <f aca="true" t="shared" si="45" ref="N179:N228">M179+L179+K179+J179+I179+H179+G179+F179+E179+D179</f>
        <v>253543.75</v>
      </c>
    </row>
    <row r="180" spans="1:14" s="3" customFormat="1" ht="13.5" customHeight="1" thickBot="1">
      <c r="A180" s="391"/>
      <c r="B180" s="472"/>
      <c r="C180" s="140" t="s">
        <v>199</v>
      </c>
      <c r="D180" s="70">
        <f aca="true" t="shared" si="46" ref="D180:M180">D175+D176-D177</f>
        <v>595.1200000000008</v>
      </c>
      <c r="E180" s="70"/>
      <c r="F180" s="70"/>
      <c r="G180" s="70">
        <f t="shared" si="46"/>
        <v>4660.820000000007</v>
      </c>
      <c r="H180" s="70">
        <f t="shared" si="46"/>
        <v>2404.269999999997</v>
      </c>
      <c r="I180" s="70">
        <f t="shared" si="46"/>
        <v>4795.330000000002</v>
      </c>
      <c r="J180" s="70">
        <f t="shared" si="46"/>
        <v>3917.2000000000044</v>
      </c>
      <c r="K180" s="70">
        <f t="shared" si="46"/>
        <v>2143.5399999999936</v>
      </c>
      <c r="L180" s="70">
        <f t="shared" si="46"/>
        <v>8672.68</v>
      </c>
      <c r="M180" s="70">
        <f t="shared" si="46"/>
        <v>1026.7599999999984</v>
      </c>
      <c r="N180" s="141">
        <f t="shared" si="45"/>
        <v>28215.72</v>
      </c>
    </row>
    <row r="181" spans="1:14" s="3" customFormat="1" ht="13.5" customHeight="1">
      <c r="A181" s="391"/>
      <c r="B181" s="470" t="s">
        <v>153</v>
      </c>
      <c r="C181" s="136" t="s">
        <v>175</v>
      </c>
      <c r="D181" s="167">
        <v>317.7</v>
      </c>
      <c r="E181" s="167"/>
      <c r="F181" s="167"/>
      <c r="G181" s="167">
        <v>2188.89</v>
      </c>
      <c r="H181" s="167">
        <v>1245.08</v>
      </c>
      <c r="I181" s="167">
        <v>1994.72</v>
      </c>
      <c r="J181" s="167">
        <v>1506.07</v>
      </c>
      <c r="K181" s="167">
        <v>1003.42</v>
      </c>
      <c r="L181" s="167">
        <v>2901.05</v>
      </c>
      <c r="M181" s="167">
        <v>331.88</v>
      </c>
      <c r="N181" s="138">
        <f t="shared" si="45"/>
        <v>11488.810000000001</v>
      </c>
    </row>
    <row r="182" spans="1:14" s="3" customFormat="1" ht="13.5" customHeight="1">
      <c r="A182" s="391"/>
      <c r="B182" s="471"/>
      <c r="C182" s="128" t="s">
        <v>1</v>
      </c>
      <c r="D182" s="155">
        <v>3232.39</v>
      </c>
      <c r="E182" s="80"/>
      <c r="F182" s="80"/>
      <c r="G182" s="155">
        <v>16746.71</v>
      </c>
      <c r="H182" s="155">
        <v>11970.07</v>
      </c>
      <c r="I182" s="155">
        <v>11920.05</v>
      </c>
      <c r="J182" s="155">
        <v>11847.56</v>
      </c>
      <c r="K182" s="155">
        <v>11776.13</v>
      </c>
      <c r="L182" s="155">
        <v>8350.18</v>
      </c>
      <c r="M182" s="155">
        <v>3179.72</v>
      </c>
      <c r="N182" s="139">
        <f t="shared" si="45"/>
        <v>79022.81</v>
      </c>
    </row>
    <row r="183" spans="1:14" s="3" customFormat="1" ht="13.5" customHeight="1">
      <c r="A183" s="391"/>
      <c r="B183" s="471"/>
      <c r="C183" s="128" t="s">
        <v>2</v>
      </c>
      <c r="D183" s="155">
        <v>3347.45</v>
      </c>
      <c r="E183" s="80"/>
      <c r="F183" s="80"/>
      <c r="G183" s="155">
        <v>17278.36</v>
      </c>
      <c r="H183" s="155">
        <v>12174.71</v>
      </c>
      <c r="I183" s="155">
        <v>12271.7</v>
      </c>
      <c r="J183" s="155">
        <v>11871.86</v>
      </c>
      <c r="K183" s="155">
        <v>11933.4</v>
      </c>
      <c r="L183" s="155">
        <v>8366.68</v>
      </c>
      <c r="M183" s="155">
        <v>3161.97</v>
      </c>
      <c r="N183" s="139">
        <f t="shared" si="45"/>
        <v>80406.12999999999</v>
      </c>
    </row>
    <row r="184" spans="1:14" s="3" customFormat="1" ht="13.5" customHeight="1">
      <c r="A184" s="391"/>
      <c r="B184" s="471"/>
      <c r="C184" s="128" t="s">
        <v>4</v>
      </c>
      <c r="D184" s="69">
        <f>+D182</f>
        <v>3232.39</v>
      </c>
      <c r="E184" s="69"/>
      <c r="F184" s="69"/>
      <c r="G184" s="69">
        <f aca="true" t="shared" si="47" ref="G184:M184">+G182</f>
        <v>16746.71</v>
      </c>
      <c r="H184" s="69">
        <f t="shared" si="47"/>
        <v>11970.07</v>
      </c>
      <c r="I184" s="69">
        <f t="shared" si="47"/>
        <v>11920.05</v>
      </c>
      <c r="J184" s="69">
        <f t="shared" si="47"/>
        <v>11847.56</v>
      </c>
      <c r="K184" s="69">
        <f t="shared" si="47"/>
        <v>11776.13</v>
      </c>
      <c r="L184" s="69">
        <f t="shared" si="47"/>
        <v>8350.18</v>
      </c>
      <c r="M184" s="69">
        <f t="shared" si="47"/>
        <v>3179.72</v>
      </c>
      <c r="N184" s="139">
        <f t="shared" si="45"/>
        <v>79022.81</v>
      </c>
    </row>
    <row r="185" spans="1:14" s="3" customFormat="1" ht="13.5" customHeight="1">
      <c r="A185" s="391"/>
      <c r="B185" s="471"/>
      <c r="C185" s="128" t="s">
        <v>3</v>
      </c>
      <c r="D185" s="133">
        <f>+D183</f>
        <v>3347.45</v>
      </c>
      <c r="E185" s="133"/>
      <c r="F185" s="133"/>
      <c r="G185" s="133">
        <f>G184+G181</f>
        <v>18935.6</v>
      </c>
      <c r="H185" s="133">
        <f>H184+H181</f>
        <v>13215.15</v>
      </c>
      <c r="I185" s="133">
        <f>I184+I181</f>
        <v>13914.769999999999</v>
      </c>
      <c r="J185" s="133">
        <f>J184+J181</f>
        <v>13353.63</v>
      </c>
      <c r="K185" s="133">
        <f>K184+K181</f>
        <v>12779.55</v>
      </c>
      <c r="L185" s="133">
        <f>+L183</f>
        <v>8366.68</v>
      </c>
      <c r="M185" s="133">
        <f>+M183</f>
        <v>3161.97</v>
      </c>
      <c r="N185" s="139">
        <f t="shared" si="45"/>
        <v>87074.79999999999</v>
      </c>
    </row>
    <row r="186" spans="1:14" s="3" customFormat="1" ht="13.5" customHeight="1" thickBot="1">
      <c r="A186" s="391"/>
      <c r="B186" s="472"/>
      <c r="C186" s="140" t="s">
        <v>199</v>
      </c>
      <c r="D186" s="70">
        <f aca="true" t="shared" si="48" ref="D186:M186">D181+D182-D183</f>
        <v>202.63999999999987</v>
      </c>
      <c r="E186" s="70"/>
      <c r="F186" s="70"/>
      <c r="G186" s="70">
        <f t="shared" si="48"/>
        <v>1657.239999999998</v>
      </c>
      <c r="H186" s="70">
        <f t="shared" si="48"/>
        <v>1040.4400000000005</v>
      </c>
      <c r="I186" s="70">
        <f t="shared" si="48"/>
        <v>1643.069999999998</v>
      </c>
      <c r="J186" s="70">
        <f t="shared" si="48"/>
        <v>1481.7699999999986</v>
      </c>
      <c r="K186" s="70">
        <f t="shared" si="48"/>
        <v>846.1499999999996</v>
      </c>
      <c r="L186" s="70">
        <f t="shared" si="48"/>
        <v>2884.5499999999993</v>
      </c>
      <c r="M186" s="70">
        <f t="shared" si="48"/>
        <v>349.6300000000001</v>
      </c>
      <c r="N186" s="141">
        <f t="shared" si="45"/>
        <v>10105.489999999994</v>
      </c>
    </row>
    <row r="187" spans="1:14" s="24" customFormat="1" ht="13.5" customHeight="1">
      <c r="A187" s="391" t="s">
        <v>111</v>
      </c>
      <c r="B187" s="470" t="s">
        <v>21</v>
      </c>
      <c r="C187" s="136" t="s">
        <v>175</v>
      </c>
      <c r="D187" s="137">
        <v>3683.42</v>
      </c>
      <c r="E187" s="137">
        <v>11310.46</v>
      </c>
      <c r="F187" s="137">
        <v>265.21</v>
      </c>
      <c r="G187" s="137">
        <v>35051.46</v>
      </c>
      <c r="H187" s="137">
        <v>16555.61</v>
      </c>
      <c r="I187" s="137">
        <v>23359.8</v>
      </c>
      <c r="J187" s="168">
        <v>16975.91</v>
      </c>
      <c r="K187" s="137">
        <v>11282.73</v>
      </c>
      <c r="L187" s="137">
        <v>34945.85</v>
      </c>
      <c r="M187" s="137">
        <v>3774.93</v>
      </c>
      <c r="N187" s="138">
        <f t="shared" si="45"/>
        <v>157205.38</v>
      </c>
    </row>
    <row r="188" spans="1:14" s="24" customFormat="1" ht="12.75">
      <c r="A188" s="391"/>
      <c r="B188" s="471"/>
      <c r="C188" s="128" t="s">
        <v>1</v>
      </c>
      <c r="D188" s="69">
        <v>37579.84</v>
      </c>
      <c r="E188" s="69">
        <v>6822.27</v>
      </c>
      <c r="F188" s="69">
        <v>6870.21</v>
      </c>
      <c r="G188" s="69">
        <v>188648.77</v>
      </c>
      <c r="H188" s="69">
        <v>139142.9</v>
      </c>
      <c r="I188" s="69">
        <v>138567.92</v>
      </c>
      <c r="J188" s="155">
        <v>137723.92</v>
      </c>
      <c r="K188" s="69">
        <v>136898.91</v>
      </c>
      <c r="L188" s="69">
        <v>97080.11</v>
      </c>
      <c r="M188" s="69">
        <v>36962.18</v>
      </c>
      <c r="N188" s="139">
        <f t="shared" si="45"/>
        <v>926297.03</v>
      </c>
    </row>
    <row r="189" spans="1:14" s="24" customFormat="1" ht="12.75">
      <c r="A189" s="391"/>
      <c r="B189" s="471"/>
      <c r="C189" s="128" t="s">
        <v>2</v>
      </c>
      <c r="D189" s="69">
        <v>38907.39</v>
      </c>
      <c r="E189" s="69">
        <v>5556.43</v>
      </c>
      <c r="F189" s="69">
        <v>6983.49</v>
      </c>
      <c r="G189" s="69">
        <v>208511.96</v>
      </c>
      <c r="H189" s="69">
        <v>143650.19</v>
      </c>
      <c r="I189" s="69">
        <v>143511.74</v>
      </c>
      <c r="J189" s="155">
        <v>137768.01</v>
      </c>
      <c r="K189" s="69">
        <v>138601.77</v>
      </c>
      <c r="L189" s="69">
        <v>96598.8</v>
      </c>
      <c r="M189" s="69">
        <v>36686.05</v>
      </c>
      <c r="N189" s="139">
        <f t="shared" si="45"/>
        <v>956775.8300000001</v>
      </c>
    </row>
    <row r="190" spans="1:14" s="24" customFormat="1" ht="12.75">
      <c r="A190" s="391"/>
      <c r="B190" s="471"/>
      <c r="C190" s="128" t="s">
        <v>4</v>
      </c>
      <c r="D190" s="164">
        <v>36291.53</v>
      </c>
      <c r="E190" s="164">
        <v>5584.38</v>
      </c>
      <c r="F190" s="164">
        <v>5634.37</v>
      </c>
      <c r="G190" s="164">
        <v>160932.74</v>
      </c>
      <c r="H190" s="164">
        <v>122496.85</v>
      </c>
      <c r="I190" s="164">
        <v>120237.62</v>
      </c>
      <c r="J190" s="164">
        <v>121964.58</v>
      </c>
      <c r="K190" s="164">
        <v>125513.06</v>
      </c>
      <c r="L190" s="164">
        <v>81354.77</v>
      </c>
      <c r="M190" s="164">
        <v>35673.21</v>
      </c>
      <c r="N190" s="321">
        <f t="shared" si="45"/>
        <v>815683.11</v>
      </c>
    </row>
    <row r="191" spans="1:14" s="24" customFormat="1" ht="12.75">
      <c r="A191" s="391"/>
      <c r="B191" s="471"/>
      <c r="C191" s="128" t="s">
        <v>3</v>
      </c>
      <c r="D191" s="133">
        <f>D190+D187</f>
        <v>39974.95</v>
      </c>
      <c r="E191" s="133">
        <f>+E189</f>
        <v>5556.43</v>
      </c>
      <c r="F191" s="133">
        <f aca="true" t="shared" si="49" ref="F191:L191">F190+F187</f>
        <v>5899.58</v>
      </c>
      <c r="G191" s="133">
        <f t="shared" si="49"/>
        <v>195984.19999999998</v>
      </c>
      <c r="H191" s="133">
        <f t="shared" si="49"/>
        <v>139052.46000000002</v>
      </c>
      <c r="I191" s="133">
        <f t="shared" si="49"/>
        <v>143597.41999999998</v>
      </c>
      <c r="J191" s="133">
        <f t="shared" si="49"/>
        <v>138940.49</v>
      </c>
      <c r="K191" s="133">
        <f t="shared" si="49"/>
        <v>136795.79</v>
      </c>
      <c r="L191" s="133">
        <f t="shared" si="49"/>
        <v>116300.62</v>
      </c>
      <c r="M191" s="133">
        <v>36686.05</v>
      </c>
      <c r="N191" s="139">
        <f t="shared" si="45"/>
        <v>958787.9899999998</v>
      </c>
    </row>
    <row r="192" spans="1:14" s="3" customFormat="1" ht="13.5" thickBot="1">
      <c r="A192" s="391"/>
      <c r="B192" s="472"/>
      <c r="C192" s="140" t="s">
        <v>199</v>
      </c>
      <c r="D192" s="70">
        <f>D187+D188-D189</f>
        <v>2355.8699999999953</v>
      </c>
      <c r="E192" s="70">
        <f aca="true" t="shared" si="50" ref="E192:M192">E187+E188-E189</f>
        <v>12576.3</v>
      </c>
      <c r="F192" s="70">
        <f t="shared" si="50"/>
        <v>151.9300000000003</v>
      </c>
      <c r="G192" s="70">
        <f>G187+G188-G189</f>
        <v>15188.26999999999</v>
      </c>
      <c r="H192" s="70">
        <f t="shared" si="50"/>
        <v>12048.320000000007</v>
      </c>
      <c r="I192" s="70">
        <f t="shared" si="50"/>
        <v>18415.98000000001</v>
      </c>
      <c r="J192" s="70">
        <f t="shared" si="50"/>
        <v>16931.820000000007</v>
      </c>
      <c r="K192" s="70">
        <f t="shared" si="50"/>
        <v>9579.870000000024</v>
      </c>
      <c r="L192" s="70">
        <f t="shared" si="50"/>
        <v>35427.15999999999</v>
      </c>
      <c r="M192" s="70">
        <f t="shared" si="50"/>
        <v>4051.0599999999977</v>
      </c>
      <c r="N192" s="141">
        <f t="shared" si="45"/>
        <v>126726.58000000003</v>
      </c>
    </row>
    <row r="193" spans="1:14" s="3" customFormat="1" ht="14.25" customHeight="1" hidden="1" thickBot="1">
      <c r="A193" s="379"/>
      <c r="B193" s="456" t="s">
        <v>18</v>
      </c>
      <c r="C193" s="135" t="s">
        <v>156</v>
      </c>
      <c r="D193" s="79"/>
      <c r="E193" s="79"/>
      <c r="F193" s="79"/>
      <c r="G193" s="79"/>
      <c r="H193" s="79"/>
      <c r="I193" s="79"/>
      <c r="J193" s="79">
        <v>0</v>
      </c>
      <c r="K193" s="79"/>
      <c r="L193" s="79">
        <v>0.65</v>
      </c>
      <c r="M193" s="79"/>
      <c r="N193" s="79">
        <f t="shared" si="45"/>
        <v>0.65</v>
      </c>
    </row>
    <row r="194" spans="1:14" s="3" customFormat="1" ht="13.5" customHeight="1" hidden="1" thickBot="1">
      <c r="A194" s="379"/>
      <c r="B194" s="467"/>
      <c r="C194" s="128" t="s">
        <v>1</v>
      </c>
      <c r="D194" s="80"/>
      <c r="E194" s="80"/>
      <c r="F194" s="80"/>
      <c r="G194" s="80"/>
      <c r="H194" s="80"/>
      <c r="I194" s="80"/>
      <c r="J194" s="80">
        <v>0</v>
      </c>
      <c r="K194" s="80"/>
      <c r="L194" s="80">
        <v>0</v>
      </c>
      <c r="M194" s="80"/>
      <c r="N194" s="80">
        <f t="shared" si="45"/>
        <v>0</v>
      </c>
    </row>
    <row r="195" spans="1:14" s="3" customFormat="1" ht="13.5" customHeight="1" hidden="1" thickBot="1">
      <c r="A195" s="379"/>
      <c r="B195" s="467"/>
      <c r="C195" s="128" t="s">
        <v>2</v>
      </c>
      <c r="D195" s="80"/>
      <c r="E195" s="80"/>
      <c r="F195" s="80"/>
      <c r="G195" s="80"/>
      <c r="H195" s="80"/>
      <c r="I195" s="80"/>
      <c r="J195" s="80">
        <v>230.74</v>
      </c>
      <c r="K195" s="80"/>
      <c r="L195" s="80">
        <v>0</v>
      </c>
      <c r="M195" s="80"/>
      <c r="N195" s="80">
        <f t="shared" si="45"/>
        <v>230.74</v>
      </c>
    </row>
    <row r="196" spans="1:14" s="3" customFormat="1" ht="13.5" customHeight="1" hidden="1" thickBot="1">
      <c r="A196" s="379"/>
      <c r="B196" s="467"/>
      <c r="C196" s="128" t="s">
        <v>4</v>
      </c>
      <c r="D196" s="130">
        <f aca="true" t="shared" si="51" ref="D196:M196">D194</f>
        <v>0</v>
      </c>
      <c r="E196" s="130">
        <f t="shared" si="51"/>
        <v>0</v>
      </c>
      <c r="F196" s="130">
        <f t="shared" si="51"/>
        <v>0</v>
      </c>
      <c r="G196" s="130">
        <f>G194</f>
        <v>0</v>
      </c>
      <c r="H196" s="130">
        <f t="shared" si="51"/>
        <v>0</v>
      </c>
      <c r="I196" s="130">
        <f t="shared" si="51"/>
        <v>0</v>
      </c>
      <c r="J196" s="130">
        <f t="shared" si="51"/>
        <v>0</v>
      </c>
      <c r="K196" s="130">
        <f t="shared" si="51"/>
        <v>0</v>
      </c>
      <c r="L196" s="130">
        <f t="shared" si="51"/>
        <v>0</v>
      </c>
      <c r="M196" s="130">
        <f t="shared" si="51"/>
        <v>0</v>
      </c>
      <c r="N196" s="80">
        <f t="shared" si="45"/>
        <v>0</v>
      </c>
    </row>
    <row r="197" spans="1:14" s="3" customFormat="1" ht="13.5" customHeight="1" hidden="1" thickBot="1">
      <c r="A197" s="379"/>
      <c r="B197" s="467"/>
      <c r="C197" s="128" t="s">
        <v>3</v>
      </c>
      <c r="D197" s="130">
        <f aca="true" t="shared" si="52" ref="D197:M197">D194</f>
        <v>0</v>
      </c>
      <c r="E197" s="130">
        <f t="shared" si="52"/>
        <v>0</v>
      </c>
      <c r="F197" s="130">
        <f t="shared" si="52"/>
        <v>0</v>
      </c>
      <c r="G197" s="130">
        <f>G194</f>
        <v>0</v>
      </c>
      <c r="H197" s="130">
        <f t="shared" si="52"/>
        <v>0</v>
      </c>
      <c r="I197" s="130">
        <f t="shared" si="52"/>
        <v>0</v>
      </c>
      <c r="J197" s="130">
        <f t="shared" si="52"/>
        <v>0</v>
      </c>
      <c r="K197" s="130">
        <f t="shared" si="52"/>
        <v>0</v>
      </c>
      <c r="L197" s="130">
        <f t="shared" si="52"/>
        <v>0</v>
      </c>
      <c r="M197" s="130">
        <f t="shared" si="52"/>
        <v>0</v>
      </c>
      <c r="N197" s="80">
        <f t="shared" si="45"/>
        <v>0</v>
      </c>
    </row>
    <row r="198" spans="1:14" s="3" customFormat="1" ht="13.5" customHeight="1" hidden="1" thickBot="1">
      <c r="A198" s="379"/>
      <c r="B198" s="467"/>
      <c r="C198" s="15" t="s">
        <v>160</v>
      </c>
      <c r="D198" s="92">
        <f>D193+D194-D195</f>
        <v>0</v>
      </c>
      <c r="E198" s="92">
        <f aca="true" t="shared" si="53" ref="E198:M198">E193+E194-E195</f>
        <v>0</v>
      </c>
      <c r="F198" s="92">
        <f t="shared" si="53"/>
        <v>0</v>
      </c>
      <c r="G198" s="92">
        <f>G193+G194-G195</f>
        <v>0</v>
      </c>
      <c r="H198" s="92">
        <f t="shared" si="53"/>
        <v>0</v>
      </c>
      <c r="I198" s="92">
        <f t="shared" si="53"/>
        <v>0</v>
      </c>
      <c r="J198" s="92">
        <f>J193+J194-J195-13.9</f>
        <v>-244.64000000000001</v>
      </c>
      <c r="K198" s="92">
        <f t="shared" si="53"/>
        <v>0</v>
      </c>
      <c r="L198" s="92">
        <f t="shared" si="53"/>
        <v>0.65</v>
      </c>
      <c r="M198" s="92">
        <f t="shared" si="53"/>
        <v>0</v>
      </c>
      <c r="N198" s="129">
        <f t="shared" si="45"/>
        <v>-243.99</v>
      </c>
    </row>
    <row r="199" spans="1:14" s="3" customFormat="1" ht="13.5" customHeight="1" hidden="1" thickBot="1">
      <c r="A199" s="379"/>
      <c r="B199" s="467" t="s">
        <v>40</v>
      </c>
      <c r="C199" s="128" t="s">
        <v>156</v>
      </c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>
        <f t="shared" si="45"/>
        <v>0</v>
      </c>
    </row>
    <row r="200" spans="1:14" s="3" customFormat="1" ht="13.5" customHeight="1" hidden="1" thickBot="1">
      <c r="A200" s="379"/>
      <c r="B200" s="467"/>
      <c r="C200" s="128" t="s">
        <v>1</v>
      </c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>
        <f t="shared" si="45"/>
        <v>0</v>
      </c>
    </row>
    <row r="201" spans="1:14" s="3" customFormat="1" ht="13.5" customHeight="1" hidden="1" thickBot="1">
      <c r="A201" s="379"/>
      <c r="B201" s="467"/>
      <c r="C201" s="128" t="s">
        <v>2</v>
      </c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>
        <f t="shared" si="45"/>
        <v>0</v>
      </c>
    </row>
    <row r="202" spans="1:14" s="3" customFormat="1" ht="13.5" customHeight="1" hidden="1" thickBot="1">
      <c r="A202" s="379"/>
      <c r="B202" s="467"/>
      <c r="C202" s="128" t="s">
        <v>4</v>
      </c>
      <c r="D202" s="130">
        <f aca="true" t="shared" si="54" ref="D202:M202">D200</f>
        <v>0</v>
      </c>
      <c r="E202" s="130">
        <f t="shared" si="54"/>
        <v>0</v>
      </c>
      <c r="F202" s="130">
        <f t="shared" si="54"/>
        <v>0</v>
      </c>
      <c r="G202" s="130">
        <f>G200</f>
        <v>0</v>
      </c>
      <c r="H202" s="130">
        <f t="shared" si="54"/>
        <v>0</v>
      </c>
      <c r="I202" s="130">
        <f t="shared" si="54"/>
        <v>0</v>
      </c>
      <c r="J202" s="130">
        <f t="shared" si="54"/>
        <v>0</v>
      </c>
      <c r="K202" s="130">
        <f t="shared" si="54"/>
        <v>0</v>
      </c>
      <c r="L202" s="130">
        <f t="shared" si="54"/>
        <v>0</v>
      </c>
      <c r="M202" s="130">
        <f t="shared" si="54"/>
        <v>0</v>
      </c>
      <c r="N202" s="80">
        <f t="shared" si="45"/>
        <v>0</v>
      </c>
    </row>
    <row r="203" spans="1:14" s="3" customFormat="1" ht="13.5" customHeight="1" hidden="1" thickBot="1">
      <c r="A203" s="379"/>
      <c r="B203" s="467"/>
      <c r="C203" s="128" t="s">
        <v>3</v>
      </c>
      <c r="D203" s="130">
        <f aca="true" t="shared" si="55" ref="D203:M203">D200</f>
        <v>0</v>
      </c>
      <c r="E203" s="130">
        <f t="shared" si="55"/>
        <v>0</v>
      </c>
      <c r="F203" s="130">
        <f t="shared" si="55"/>
        <v>0</v>
      </c>
      <c r="G203" s="130">
        <f>G200</f>
        <v>0</v>
      </c>
      <c r="H203" s="130">
        <f t="shared" si="55"/>
        <v>0</v>
      </c>
      <c r="I203" s="130">
        <f t="shared" si="55"/>
        <v>0</v>
      </c>
      <c r="J203" s="130">
        <f t="shared" si="55"/>
        <v>0</v>
      </c>
      <c r="K203" s="130">
        <f t="shared" si="55"/>
        <v>0</v>
      </c>
      <c r="L203" s="130">
        <f t="shared" si="55"/>
        <v>0</v>
      </c>
      <c r="M203" s="130">
        <f t="shared" si="55"/>
        <v>0</v>
      </c>
      <c r="N203" s="80">
        <f t="shared" si="45"/>
        <v>0</v>
      </c>
    </row>
    <row r="204" spans="1:14" s="3" customFormat="1" ht="13.5" customHeight="1" hidden="1" thickBot="1">
      <c r="A204" s="379"/>
      <c r="B204" s="467"/>
      <c r="C204" s="15" t="s">
        <v>160</v>
      </c>
      <c r="D204" s="92">
        <f>D199+D200-D201</f>
        <v>0</v>
      </c>
      <c r="E204" s="92">
        <f aca="true" t="shared" si="56" ref="E204:M204">E199+E200-E201</f>
        <v>0</v>
      </c>
      <c r="F204" s="92">
        <f t="shared" si="56"/>
        <v>0</v>
      </c>
      <c r="G204" s="92">
        <f>G199+G200-G201</f>
        <v>0</v>
      </c>
      <c r="H204" s="92">
        <f t="shared" si="56"/>
        <v>0</v>
      </c>
      <c r="I204" s="92">
        <f t="shared" si="56"/>
        <v>0</v>
      </c>
      <c r="J204" s="92">
        <f t="shared" si="56"/>
        <v>0</v>
      </c>
      <c r="K204" s="92">
        <f t="shared" si="56"/>
        <v>0</v>
      </c>
      <c r="L204" s="92">
        <f t="shared" si="56"/>
        <v>0</v>
      </c>
      <c r="M204" s="92">
        <f t="shared" si="56"/>
        <v>0</v>
      </c>
      <c r="N204" s="129">
        <f t="shared" si="45"/>
        <v>0</v>
      </c>
    </row>
    <row r="205" spans="1:14" s="3" customFormat="1" ht="13.5" customHeight="1" hidden="1" thickBot="1">
      <c r="A205" s="379"/>
      <c r="B205" s="467" t="s">
        <v>33</v>
      </c>
      <c r="C205" s="128" t="s">
        <v>156</v>
      </c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>
        <f t="shared" si="45"/>
        <v>0</v>
      </c>
    </row>
    <row r="206" spans="1:14" s="3" customFormat="1" ht="13.5" customHeight="1" hidden="1" thickBot="1">
      <c r="A206" s="379"/>
      <c r="B206" s="467"/>
      <c r="C206" s="128" t="s">
        <v>1</v>
      </c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>
        <f t="shared" si="45"/>
        <v>0</v>
      </c>
    </row>
    <row r="207" spans="1:14" s="3" customFormat="1" ht="13.5" customHeight="1" hidden="1" thickBot="1">
      <c r="A207" s="379"/>
      <c r="B207" s="467"/>
      <c r="C207" s="128" t="s">
        <v>2</v>
      </c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>
        <f t="shared" si="45"/>
        <v>0</v>
      </c>
    </row>
    <row r="208" spans="1:14" s="3" customFormat="1" ht="13.5" customHeight="1" hidden="1" thickBot="1">
      <c r="A208" s="379"/>
      <c r="B208" s="467"/>
      <c r="C208" s="128" t="s">
        <v>4</v>
      </c>
      <c r="D208" s="130">
        <f aca="true" t="shared" si="57" ref="D208:M208">D206</f>
        <v>0</v>
      </c>
      <c r="E208" s="130">
        <f t="shared" si="57"/>
        <v>0</v>
      </c>
      <c r="F208" s="130">
        <f t="shared" si="57"/>
        <v>0</v>
      </c>
      <c r="G208" s="130">
        <f>G206</f>
        <v>0</v>
      </c>
      <c r="H208" s="130">
        <f t="shared" si="57"/>
        <v>0</v>
      </c>
      <c r="I208" s="130">
        <f t="shared" si="57"/>
        <v>0</v>
      </c>
      <c r="J208" s="130">
        <f t="shared" si="57"/>
        <v>0</v>
      </c>
      <c r="K208" s="130">
        <f t="shared" si="57"/>
        <v>0</v>
      </c>
      <c r="L208" s="130">
        <f t="shared" si="57"/>
        <v>0</v>
      </c>
      <c r="M208" s="130">
        <f t="shared" si="57"/>
        <v>0</v>
      </c>
      <c r="N208" s="80">
        <f t="shared" si="45"/>
        <v>0</v>
      </c>
    </row>
    <row r="209" spans="1:14" s="3" customFormat="1" ht="13.5" customHeight="1" hidden="1" thickBot="1">
      <c r="A209" s="379"/>
      <c r="B209" s="467"/>
      <c r="C209" s="128" t="s">
        <v>3</v>
      </c>
      <c r="D209" s="130">
        <f aca="true" t="shared" si="58" ref="D209:M209">D206</f>
        <v>0</v>
      </c>
      <c r="E209" s="130">
        <f t="shared" si="58"/>
        <v>0</v>
      </c>
      <c r="F209" s="130">
        <f t="shared" si="58"/>
        <v>0</v>
      </c>
      <c r="G209" s="130">
        <f>G206</f>
        <v>0</v>
      </c>
      <c r="H209" s="130">
        <f t="shared" si="58"/>
        <v>0</v>
      </c>
      <c r="I209" s="130">
        <f t="shared" si="58"/>
        <v>0</v>
      </c>
      <c r="J209" s="130">
        <f t="shared" si="58"/>
        <v>0</v>
      </c>
      <c r="K209" s="130">
        <f t="shared" si="58"/>
        <v>0</v>
      </c>
      <c r="L209" s="130">
        <f t="shared" si="58"/>
        <v>0</v>
      </c>
      <c r="M209" s="130">
        <f t="shared" si="58"/>
        <v>0</v>
      </c>
      <c r="N209" s="80">
        <f t="shared" si="45"/>
        <v>0</v>
      </c>
    </row>
    <row r="210" spans="1:14" s="3" customFormat="1" ht="13.5" customHeight="1" hidden="1" thickBot="1">
      <c r="A210" s="379"/>
      <c r="B210" s="467"/>
      <c r="C210" s="15" t="s">
        <v>160</v>
      </c>
      <c r="D210" s="92">
        <f>D205+D206-D207</f>
        <v>0</v>
      </c>
      <c r="E210" s="92">
        <f aca="true" t="shared" si="59" ref="E210:M210">E205+E206-E207</f>
        <v>0</v>
      </c>
      <c r="F210" s="92">
        <f t="shared" si="59"/>
        <v>0</v>
      </c>
      <c r="G210" s="92">
        <f>G205+G206-G207</f>
        <v>0</v>
      </c>
      <c r="H210" s="92">
        <f t="shared" si="59"/>
        <v>0</v>
      </c>
      <c r="I210" s="92">
        <f t="shared" si="59"/>
        <v>0</v>
      </c>
      <c r="J210" s="92">
        <f t="shared" si="59"/>
        <v>0</v>
      </c>
      <c r="K210" s="92">
        <f t="shared" si="59"/>
        <v>0</v>
      </c>
      <c r="L210" s="92">
        <f t="shared" si="59"/>
        <v>0</v>
      </c>
      <c r="M210" s="92">
        <f t="shared" si="59"/>
        <v>0</v>
      </c>
      <c r="N210" s="129">
        <f t="shared" si="45"/>
        <v>0</v>
      </c>
    </row>
    <row r="211" spans="1:14" s="3" customFormat="1" ht="15" customHeight="1" hidden="1" thickBot="1">
      <c r="A211" s="379"/>
      <c r="B211" s="467" t="s">
        <v>42</v>
      </c>
      <c r="C211" s="128" t="s">
        <v>156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>
        <f t="shared" si="45"/>
        <v>0</v>
      </c>
    </row>
    <row r="212" spans="1:14" s="3" customFormat="1" ht="13.5" customHeight="1" hidden="1" thickBot="1">
      <c r="A212" s="379"/>
      <c r="B212" s="467"/>
      <c r="C212" s="128" t="s">
        <v>1</v>
      </c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>
        <f t="shared" si="45"/>
        <v>0</v>
      </c>
    </row>
    <row r="213" spans="1:14" s="3" customFormat="1" ht="13.5" customHeight="1" hidden="1" thickBot="1">
      <c r="A213" s="379"/>
      <c r="B213" s="467"/>
      <c r="C213" s="128" t="s">
        <v>2</v>
      </c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>
        <f t="shared" si="45"/>
        <v>0</v>
      </c>
    </row>
    <row r="214" spans="1:14" s="3" customFormat="1" ht="13.5" customHeight="1" hidden="1" thickBot="1">
      <c r="A214" s="379"/>
      <c r="B214" s="467"/>
      <c r="C214" s="128" t="s">
        <v>4</v>
      </c>
      <c r="D214" s="130">
        <f aca="true" t="shared" si="60" ref="D214:M214">D212</f>
        <v>0</v>
      </c>
      <c r="E214" s="130">
        <f t="shared" si="60"/>
        <v>0</v>
      </c>
      <c r="F214" s="130">
        <f t="shared" si="60"/>
        <v>0</v>
      </c>
      <c r="G214" s="130">
        <f>G212</f>
        <v>0</v>
      </c>
      <c r="H214" s="130">
        <f t="shared" si="60"/>
        <v>0</v>
      </c>
      <c r="I214" s="130">
        <f t="shared" si="60"/>
        <v>0</v>
      </c>
      <c r="J214" s="130">
        <f t="shared" si="60"/>
        <v>0</v>
      </c>
      <c r="K214" s="130">
        <f t="shared" si="60"/>
        <v>0</v>
      </c>
      <c r="L214" s="130">
        <f t="shared" si="60"/>
        <v>0</v>
      </c>
      <c r="M214" s="130">
        <f t="shared" si="60"/>
        <v>0</v>
      </c>
      <c r="N214" s="80">
        <f t="shared" si="45"/>
        <v>0</v>
      </c>
    </row>
    <row r="215" spans="1:14" s="3" customFormat="1" ht="13.5" customHeight="1" hidden="1" thickBot="1">
      <c r="A215" s="379"/>
      <c r="B215" s="467"/>
      <c r="C215" s="128" t="s">
        <v>3</v>
      </c>
      <c r="D215" s="130">
        <f aca="true" t="shared" si="61" ref="D215:M215">D212</f>
        <v>0</v>
      </c>
      <c r="E215" s="130">
        <f t="shared" si="61"/>
        <v>0</v>
      </c>
      <c r="F215" s="130">
        <f t="shared" si="61"/>
        <v>0</v>
      </c>
      <c r="G215" s="130">
        <f>G212</f>
        <v>0</v>
      </c>
      <c r="H215" s="130">
        <f t="shared" si="61"/>
        <v>0</v>
      </c>
      <c r="I215" s="130">
        <f t="shared" si="61"/>
        <v>0</v>
      </c>
      <c r="J215" s="130">
        <f t="shared" si="61"/>
        <v>0</v>
      </c>
      <c r="K215" s="130">
        <f t="shared" si="61"/>
        <v>0</v>
      </c>
      <c r="L215" s="130">
        <f t="shared" si="61"/>
        <v>0</v>
      </c>
      <c r="M215" s="130">
        <f t="shared" si="61"/>
        <v>0</v>
      </c>
      <c r="N215" s="80">
        <f t="shared" si="45"/>
        <v>0</v>
      </c>
    </row>
    <row r="216" spans="1:14" s="3" customFormat="1" ht="13.5" customHeight="1" hidden="1" thickBot="1">
      <c r="A216" s="379"/>
      <c r="B216" s="454"/>
      <c r="C216" s="16" t="s">
        <v>160</v>
      </c>
      <c r="D216" s="134">
        <f>D211+D212-D213</f>
        <v>0</v>
      </c>
      <c r="E216" s="134">
        <f aca="true" t="shared" si="62" ref="E216:M216">E211+E212-E213</f>
        <v>0</v>
      </c>
      <c r="F216" s="134">
        <f t="shared" si="62"/>
        <v>0</v>
      </c>
      <c r="G216" s="134">
        <f>G211+G212-G213</f>
        <v>0</v>
      </c>
      <c r="H216" s="134">
        <f t="shared" si="62"/>
        <v>0</v>
      </c>
      <c r="I216" s="134">
        <f t="shared" si="62"/>
        <v>0</v>
      </c>
      <c r="J216" s="134">
        <f t="shared" si="62"/>
        <v>0</v>
      </c>
      <c r="K216" s="134">
        <f t="shared" si="62"/>
        <v>0</v>
      </c>
      <c r="L216" s="134">
        <f t="shared" si="62"/>
        <v>0</v>
      </c>
      <c r="M216" s="134">
        <f t="shared" si="62"/>
        <v>0</v>
      </c>
      <c r="N216" s="91">
        <f t="shared" si="45"/>
        <v>0</v>
      </c>
    </row>
    <row r="217" spans="1:14" s="3" customFormat="1" ht="12.75">
      <c r="A217" s="391"/>
      <c r="B217" s="470" t="s">
        <v>149</v>
      </c>
      <c r="C217" s="136" t="s">
        <v>175</v>
      </c>
      <c r="D217" s="168">
        <v>516.31</v>
      </c>
      <c r="E217" s="168">
        <v>699.05</v>
      </c>
      <c r="F217" s="168">
        <v>38.53</v>
      </c>
      <c r="G217" s="168">
        <v>3709.4</v>
      </c>
      <c r="H217" s="168">
        <v>1971.23</v>
      </c>
      <c r="I217" s="168">
        <v>3061.76</v>
      </c>
      <c r="J217" s="168">
        <v>2378.22</v>
      </c>
      <c r="K217" s="168">
        <v>1631.08</v>
      </c>
      <c r="L217" s="168">
        <v>4391.57</v>
      </c>
      <c r="M217" s="168">
        <v>530.79</v>
      </c>
      <c r="N217" s="138">
        <f t="shared" si="45"/>
        <v>18927.94</v>
      </c>
    </row>
    <row r="218" spans="1:14" s="3" customFormat="1" ht="12.75">
      <c r="A218" s="391"/>
      <c r="B218" s="471"/>
      <c r="C218" s="128" t="s">
        <v>1</v>
      </c>
      <c r="D218" s="155">
        <v>5252.83</v>
      </c>
      <c r="E218" s="155">
        <v>990.79</v>
      </c>
      <c r="F218" s="155">
        <v>997.82</v>
      </c>
      <c r="G218" s="155">
        <v>27136.2</v>
      </c>
      <c r="H218" s="155">
        <v>19450.82</v>
      </c>
      <c r="I218" s="155">
        <v>19369.93</v>
      </c>
      <c r="J218" s="155">
        <v>19252.03</v>
      </c>
      <c r="K218" s="155">
        <v>19136.27</v>
      </c>
      <c r="L218" s="155">
        <v>13570.04</v>
      </c>
      <c r="M218" s="155">
        <v>5166.92</v>
      </c>
      <c r="N218" s="139">
        <f t="shared" si="45"/>
        <v>130323.65000000001</v>
      </c>
    </row>
    <row r="219" spans="1:14" s="3" customFormat="1" ht="12.75">
      <c r="A219" s="391"/>
      <c r="B219" s="471"/>
      <c r="C219" s="128" t="s">
        <v>2</v>
      </c>
      <c r="D219" s="155">
        <v>5439.82</v>
      </c>
      <c r="E219" s="155">
        <v>806.91</v>
      </c>
      <c r="F219" s="155">
        <v>1014.28</v>
      </c>
      <c r="G219" s="155">
        <v>28167.28</v>
      </c>
      <c r="H219" s="155">
        <v>19737.39</v>
      </c>
      <c r="I219" s="155">
        <v>19859.83</v>
      </c>
      <c r="J219" s="155">
        <v>19265.11</v>
      </c>
      <c r="K219" s="155">
        <v>19392.62</v>
      </c>
      <c r="L219" s="155">
        <v>13487.37</v>
      </c>
      <c r="M219" s="155">
        <v>5131.2</v>
      </c>
      <c r="N219" s="139">
        <f t="shared" si="45"/>
        <v>132301.81</v>
      </c>
    </row>
    <row r="220" spans="1:14" s="3" customFormat="1" ht="12.75">
      <c r="A220" s="391"/>
      <c r="B220" s="471"/>
      <c r="C220" s="128" t="s">
        <v>4</v>
      </c>
      <c r="D220" s="69">
        <f>+D218</f>
        <v>5252.83</v>
      </c>
      <c r="E220" s="69">
        <f aca="true" t="shared" si="63" ref="E220:M220">+E218</f>
        <v>990.79</v>
      </c>
      <c r="F220" s="69">
        <f t="shared" si="63"/>
        <v>997.82</v>
      </c>
      <c r="G220" s="69">
        <f t="shared" si="63"/>
        <v>27136.2</v>
      </c>
      <c r="H220" s="69">
        <f t="shared" si="63"/>
        <v>19450.82</v>
      </c>
      <c r="I220" s="69">
        <f t="shared" si="63"/>
        <v>19369.93</v>
      </c>
      <c r="J220" s="69">
        <f t="shared" si="63"/>
        <v>19252.03</v>
      </c>
      <c r="K220" s="69">
        <f t="shared" si="63"/>
        <v>19136.27</v>
      </c>
      <c r="L220" s="69">
        <f t="shared" si="63"/>
        <v>13570.04</v>
      </c>
      <c r="M220" s="69">
        <f t="shared" si="63"/>
        <v>5166.92</v>
      </c>
      <c r="N220" s="139">
        <f t="shared" si="45"/>
        <v>130323.65000000001</v>
      </c>
    </row>
    <row r="221" spans="1:14" s="3" customFormat="1" ht="12.75">
      <c r="A221" s="391"/>
      <c r="B221" s="471"/>
      <c r="C221" s="128" t="s">
        <v>3</v>
      </c>
      <c r="D221" s="133">
        <f>+D219</f>
        <v>5439.82</v>
      </c>
      <c r="E221" s="133">
        <f>+E219</f>
        <v>806.91</v>
      </c>
      <c r="F221" s="133">
        <f aca="true" t="shared" si="64" ref="F221:K221">F220+F217</f>
        <v>1036.3500000000001</v>
      </c>
      <c r="G221" s="133">
        <f t="shared" si="64"/>
        <v>30845.600000000002</v>
      </c>
      <c r="H221" s="133">
        <f t="shared" si="64"/>
        <v>21422.05</v>
      </c>
      <c r="I221" s="133">
        <f t="shared" si="64"/>
        <v>22431.690000000002</v>
      </c>
      <c r="J221" s="133">
        <f t="shared" si="64"/>
        <v>21630.25</v>
      </c>
      <c r="K221" s="133">
        <f t="shared" si="64"/>
        <v>20767.35</v>
      </c>
      <c r="L221" s="133">
        <f>+L219</f>
        <v>13487.37</v>
      </c>
      <c r="M221" s="133">
        <f>+M219</f>
        <v>5131.2</v>
      </c>
      <c r="N221" s="139">
        <f t="shared" si="45"/>
        <v>142998.59000000003</v>
      </c>
    </row>
    <row r="222" spans="1:14" s="3" customFormat="1" ht="13.5" thickBot="1">
      <c r="A222" s="391"/>
      <c r="B222" s="472"/>
      <c r="C222" s="140" t="s">
        <v>199</v>
      </c>
      <c r="D222" s="70">
        <f aca="true" t="shared" si="65" ref="D222:M222">D217+D218-D219</f>
        <v>329.3199999999997</v>
      </c>
      <c r="E222" s="70">
        <f t="shared" si="65"/>
        <v>882.93</v>
      </c>
      <c r="F222" s="70">
        <f t="shared" si="65"/>
        <v>22.070000000000164</v>
      </c>
      <c r="G222" s="70">
        <f t="shared" si="65"/>
        <v>2678.3200000000033</v>
      </c>
      <c r="H222" s="70">
        <f t="shared" si="65"/>
        <v>1684.6599999999999</v>
      </c>
      <c r="I222" s="70">
        <f t="shared" si="65"/>
        <v>2571.8600000000006</v>
      </c>
      <c r="J222" s="70">
        <f t="shared" si="65"/>
        <v>2365.1399999999994</v>
      </c>
      <c r="K222" s="70">
        <f t="shared" si="65"/>
        <v>1374.7299999999996</v>
      </c>
      <c r="L222" s="70">
        <f t="shared" si="65"/>
        <v>4474.24</v>
      </c>
      <c r="M222" s="70">
        <f t="shared" si="65"/>
        <v>566.5100000000002</v>
      </c>
      <c r="N222" s="141">
        <f t="shared" si="45"/>
        <v>16949.780000000002</v>
      </c>
    </row>
    <row r="223" spans="1:14" s="24" customFormat="1" ht="12.75" customHeight="1">
      <c r="A223" s="391" t="s">
        <v>118</v>
      </c>
      <c r="B223" s="470" t="s">
        <v>41</v>
      </c>
      <c r="C223" s="136" t="s">
        <v>175</v>
      </c>
      <c r="D223" s="137">
        <v>14705.94</v>
      </c>
      <c r="E223" s="137">
        <v>27308.44</v>
      </c>
      <c r="F223" s="137">
        <v>966.62</v>
      </c>
      <c r="G223" s="137">
        <v>187252.81</v>
      </c>
      <c r="H223" s="137">
        <v>80069.97</v>
      </c>
      <c r="I223" s="137">
        <v>130405.55</v>
      </c>
      <c r="J223" s="168">
        <f>-139+95935.03</f>
        <v>95796.03</v>
      </c>
      <c r="K223" s="137">
        <v>88454.09</v>
      </c>
      <c r="L223" s="137">
        <f>-0.04+74809.41</f>
        <v>74809.37000000001</v>
      </c>
      <c r="M223" s="137">
        <v>20614.05</v>
      </c>
      <c r="N223" s="138">
        <f t="shared" si="45"/>
        <v>720382.87</v>
      </c>
    </row>
    <row r="224" spans="1:14" s="24" customFormat="1" ht="12.75">
      <c r="A224" s="391"/>
      <c r="B224" s="471"/>
      <c r="C224" s="128" t="s">
        <v>1</v>
      </c>
      <c r="D224" s="69">
        <v>209969.84</v>
      </c>
      <c r="E224" s="69">
        <v>39856.71</v>
      </c>
      <c r="F224" s="69">
        <v>26974.93</v>
      </c>
      <c r="G224" s="69">
        <v>1344641.2</v>
      </c>
      <c r="H224" s="69">
        <v>931068.05</v>
      </c>
      <c r="I224" s="69">
        <v>943006.18</v>
      </c>
      <c r="J224" s="155">
        <f>139+927087.78</f>
        <v>927226.78</v>
      </c>
      <c r="K224" s="69">
        <v>980687.86</v>
      </c>
      <c r="L224" s="69">
        <f>0.04+340985.52</f>
        <v>340985.56</v>
      </c>
      <c r="M224" s="69">
        <v>177926.88</v>
      </c>
      <c r="N224" s="139">
        <f t="shared" si="45"/>
        <v>5922343.99</v>
      </c>
    </row>
    <row r="225" spans="1:14" s="24" customFormat="1" ht="12.75">
      <c r="A225" s="391"/>
      <c r="B225" s="471"/>
      <c r="C225" s="128" t="s">
        <v>2</v>
      </c>
      <c r="D225" s="69">
        <v>219988.08</v>
      </c>
      <c r="E225" s="69">
        <v>23861.78</v>
      </c>
      <c r="F225" s="69">
        <v>27364.45</v>
      </c>
      <c r="G225" s="69">
        <v>1392782.16</v>
      </c>
      <c r="H225" s="69">
        <v>928105.38</v>
      </c>
      <c r="I225" s="69">
        <v>942218.24</v>
      </c>
      <c r="J225" s="155">
        <v>896889.94</v>
      </c>
      <c r="K225" s="69">
        <v>1006873.83</v>
      </c>
      <c r="L225" s="69">
        <v>326041.34</v>
      </c>
      <c r="M225" s="69">
        <v>170404.33</v>
      </c>
      <c r="N225" s="139">
        <f t="shared" si="45"/>
        <v>5934529.53</v>
      </c>
    </row>
    <row r="226" spans="1:14" s="24" customFormat="1" ht="12.75">
      <c r="A226" s="391"/>
      <c r="B226" s="471"/>
      <c r="C226" s="128" t="s">
        <v>4</v>
      </c>
      <c r="D226" s="69">
        <f>+D224</f>
        <v>209969.84</v>
      </c>
      <c r="E226" s="69">
        <f aca="true" t="shared" si="66" ref="E226:M226">+E224</f>
        <v>39856.71</v>
      </c>
      <c r="F226" s="69">
        <f t="shared" si="66"/>
        <v>26974.93</v>
      </c>
      <c r="G226" s="69">
        <f t="shared" si="66"/>
        <v>1344641.2</v>
      </c>
      <c r="H226" s="69">
        <f t="shared" si="66"/>
        <v>931068.05</v>
      </c>
      <c r="I226" s="69">
        <f t="shared" si="66"/>
        <v>943006.18</v>
      </c>
      <c r="J226" s="69">
        <f t="shared" si="66"/>
        <v>927226.78</v>
      </c>
      <c r="K226" s="69">
        <f t="shared" si="66"/>
        <v>980687.86</v>
      </c>
      <c r="L226" s="69">
        <f t="shared" si="66"/>
        <v>340985.56</v>
      </c>
      <c r="M226" s="69">
        <f t="shared" si="66"/>
        <v>177926.88</v>
      </c>
      <c r="N226" s="139">
        <f t="shared" si="45"/>
        <v>5922343.99</v>
      </c>
    </row>
    <row r="227" spans="1:14" s="24" customFormat="1" ht="12.75">
      <c r="A227" s="391"/>
      <c r="B227" s="471"/>
      <c r="C227" s="128" t="s">
        <v>3</v>
      </c>
      <c r="D227" s="133">
        <f>D226+D223</f>
        <v>224675.78</v>
      </c>
      <c r="E227" s="133">
        <f>+E225</f>
        <v>23861.78</v>
      </c>
      <c r="F227" s="133">
        <f>F226+F223</f>
        <v>27941.55</v>
      </c>
      <c r="G227" s="133">
        <f>G226+G223</f>
        <v>1531894.01</v>
      </c>
      <c r="H227" s="133">
        <f aca="true" t="shared" si="67" ref="H227:M227">+H225</f>
        <v>928105.38</v>
      </c>
      <c r="I227" s="133">
        <f>I226+I223</f>
        <v>1073411.73</v>
      </c>
      <c r="J227" s="133">
        <f>J226+J223</f>
        <v>1023022.81</v>
      </c>
      <c r="K227" s="133">
        <f>K226+K223</f>
        <v>1069141.95</v>
      </c>
      <c r="L227" s="133">
        <f t="shared" si="67"/>
        <v>326041.34</v>
      </c>
      <c r="M227" s="133">
        <f t="shared" si="67"/>
        <v>170404.33</v>
      </c>
      <c r="N227" s="139">
        <f t="shared" si="45"/>
        <v>6398500.66</v>
      </c>
    </row>
    <row r="228" spans="1:14" s="3" customFormat="1" ht="13.5" thickBot="1">
      <c r="A228" s="392"/>
      <c r="B228" s="473"/>
      <c r="C228" s="16" t="s">
        <v>199</v>
      </c>
      <c r="D228" s="134">
        <f>D223+D224-D225</f>
        <v>4687.700000000012</v>
      </c>
      <c r="E228" s="134">
        <f aca="true" t="shared" si="68" ref="E228:M228">E223+E224-E225</f>
        <v>43303.369999999995</v>
      </c>
      <c r="F228" s="134">
        <f t="shared" si="68"/>
        <v>577.0999999999985</v>
      </c>
      <c r="G228" s="134">
        <f>G223+G224-G225</f>
        <v>139111.8500000001</v>
      </c>
      <c r="H228" s="134">
        <f t="shared" si="68"/>
        <v>83032.64000000001</v>
      </c>
      <c r="I228" s="134">
        <f t="shared" si="68"/>
        <v>131193.49</v>
      </c>
      <c r="J228" s="134">
        <f t="shared" si="68"/>
        <v>126132.87000000011</v>
      </c>
      <c r="K228" s="134">
        <f t="shared" si="68"/>
        <v>62268.119999999995</v>
      </c>
      <c r="L228" s="134">
        <f t="shared" si="68"/>
        <v>89753.58999999997</v>
      </c>
      <c r="M228" s="134">
        <f t="shared" si="68"/>
        <v>28136.600000000006</v>
      </c>
      <c r="N228" s="146">
        <f t="shared" si="45"/>
        <v>708197.3300000001</v>
      </c>
    </row>
    <row r="229" spans="1:14" s="24" customFormat="1" ht="12.75">
      <c r="A229" s="393" t="s">
        <v>189</v>
      </c>
      <c r="B229" s="393"/>
      <c r="C229" s="376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97"/>
    </row>
    <row r="230" spans="1:14" s="24" customFormat="1" ht="12.75">
      <c r="A230" s="377"/>
      <c r="B230" s="377"/>
      <c r="C230" s="131" t="s">
        <v>175</v>
      </c>
      <c r="D230" s="116">
        <f>D223+D217+D187+D181+D175+D169+D133+D127+D121</f>
        <v>55596.53999999999</v>
      </c>
      <c r="E230" s="116">
        <f aca="true" t="shared" si="69" ref="E230:N230">E223+E217+E187+E181+E175+E169+E133+E127+E121</f>
        <v>114892.76999999999</v>
      </c>
      <c r="F230" s="116">
        <f t="shared" si="69"/>
        <v>3319.46</v>
      </c>
      <c r="G230" s="116">
        <f>G223+G217+G187+G181+G175+G169+G133+G127+G121</f>
        <v>556745.3</v>
      </c>
      <c r="H230" s="116">
        <f t="shared" si="69"/>
        <v>248892.04</v>
      </c>
      <c r="I230" s="116">
        <f t="shared" si="69"/>
        <v>379785.19999999995</v>
      </c>
      <c r="J230" s="116">
        <f t="shared" si="69"/>
        <v>282725.81</v>
      </c>
      <c r="K230" s="116">
        <f t="shared" si="69"/>
        <v>216640.21999999997</v>
      </c>
      <c r="L230" s="116">
        <f t="shared" si="69"/>
        <v>449200.42000000004</v>
      </c>
      <c r="M230" s="116">
        <f t="shared" si="69"/>
        <v>62529.91</v>
      </c>
      <c r="N230" s="125">
        <f t="shared" si="69"/>
        <v>2370327.67</v>
      </c>
    </row>
    <row r="231" spans="1:14" s="24" customFormat="1" ht="12.75">
      <c r="A231" s="377"/>
      <c r="B231" s="377"/>
      <c r="C231" s="132" t="s">
        <v>1</v>
      </c>
      <c r="D231" s="116">
        <f aca="true" t="shared" si="70" ref="D231:N235">D224+D218+D188+D182+D176+D170+D134+D128+D122</f>
        <v>626784.8300000001</v>
      </c>
      <c r="E231" s="116">
        <f t="shared" si="70"/>
        <v>100380.24</v>
      </c>
      <c r="F231" s="116">
        <f t="shared" si="70"/>
        <v>87922.88</v>
      </c>
      <c r="G231" s="116">
        <f t="shared" si="70"/>
        <v>3436513.6199999996</v>
      </c>
      <c r="H231" s="116">
        <f t="shared" si="70"/>
        <v>2474352.1</v>
      </c>
      <c r="I231" s="116">
        <f t="shared" si="70"/>
        <v>2478709.56</v>
      </c>
      <c r="J231" s="116">
        <f t="shared" si="70"/>
        <v>2454777.94</v>
      </c>
      <c r="K231" s="116">
        <f t="shared" si="70"/>
        <v>2499090.29</v>
      </c>
      <c r="L231" s="116">
        <f t="shared" si="70"/>
        <v>1411724.1</v>
      </c>
      <c r="M231" s="116">
        <f t="shared" si="70"/>
        <v>587887.57</v>
      </c>
      <c r="N231" s="125">
        <f t="shared" si="70"/>
        <v>16158143.13</v>
      </c>
    </row>
    <row r="232" spans="1:14" s="24" customFormat="1" ht="12.75">
      <c r="A232" s="377"/>
      <c r="B232" s="377"/>
      <c r="C232" s="132" t="s">
        <v>2</v>
      </c>
      <c r="D232" s="116">
        <f t="shared" si="70"/>
        <v>651564.12</v>
      </c>
      <c r="E232" s="116">
        <f t="shared" si="70"/>
        <v>73021.91</v>
      </c>
      <c r="F232" s="116">
        <f t="shared" si="70"/>
        <v>89317.32</v>
      </c>
      <c r="G232" s="116">
        <f t="shared" si="70"/>
        <v>3660109.0000000005</v>
      </c>
      <c r="H232" s="116">
        <f t="shared" si="70"/>
        <v>2507248.62</v>
      </c>
      <c r="I232" s="116">
        <f t="shared" si="70"/>
        <v>2524117.6599999997</v>
      </c>
      <c r="J232" s="116">
        <f t="shared" si="70"/>
        <v>2424632.26</v>
      </c>
      <c r="K232" s="116">
        <f t="shared" si="70"/>
        <v>2545006.69</v>
      </c>
      <c r="L232" s="116">
        <f t="shared" si="70"/>
        <v>1388414.1600000001</v>
      </c>
      <c r="M232" s="116">
        <f t="shared" si="70"/>
        <v>577349.3</v>
      </c>
      <c r="N232" s="125">
        <f t="shared" si="70"/>
        <v>16440781.04</v>
      </c>
    </row>
    <row r="233" spans="1:14" s="24" customFormat="1" ht="12.75">
      <c r="A233" s="377"/>
      <c r="B233" s="377"/>
      <c r="C233" s="132" t="s">
        <v>4</v>
      </c>
      <c r="D233" s="116">
        <f>D226+D220+D190+D184+D178+D172+D136+D130+D124</f>
        <v>578337.8700000001</v>
      </c>
      <c r="E233" s="116">
        <f t="shared" si="70"/>
        <v>96060.58</v>
      </c>
      <c r="F233" s="116">
        <f t="shared" si="70"/>
        <v>78451.9</v>
      </c>
      <c r="G233" s="116">
        <f t="shared" si="70"/>
        <v>2854254.9</v>
      </c>
      <c r="H233" s="116">
        <f t="shared" si="70"/>
        <v>1916353</v>
      </c>
      <c r="I233" s="116">
        <f t="shared" si="70"/>
        <v>1960106.4000000001</v>
      </c>
      <c r="J233" s="116">
        <f t="shared" si="70"/>
        <v>1927229.4900000002</v>
      </c>
      <c r="K233" s="116">
        <f t="shared" si="70"/>
        <v>2296204.88</v>
      </c>
      <c r="L233" s="116">
        <f t="shared" si="70"/>
        <v>1101201.96</v>
      </c>
      <c r="M233" s="116">
        <f t="shared" si="70"/>
        <v>588729.12</v>
      </c>
      <c r="N233" s="125">
        <f t="shared" si="70"/>
        <v>13396930.100000001</v>
      </c>
    </row>
    <row r="234" spans="1:14" s="24" customFormat="1" ht="12.75">
      <c r="A234" s="377"/>
      <c r="B234" s="377"/>
      <c r="C234" s="132" t="s">
        <v>3</v>
      </c>
      <c r="D234" s="116">
        <f t="shared" si="70"/>
        <v>632604.69</v>
      </c>
      <c r="E234" s="116">
        <f t="shared" si="70"/>
        <v>73021.91</v>
      </c>
      <c r="F234" s="116">
        <f t="shared" si="70"/>
        <v>83108.66</v>
      </c>
      <c r="G234" s="116">
        <f t="shared" si="70"/>
        <v>3411000.2</v>
      </c>
      <c r="H234" s="116">
        <f t="shared" si="70"/>
        <v>2081172.01</v>
      </c>
      <c r="I234" s="116">
        <f t="shared" si="70"/>
        <v>2339891.5999999996</v>
      </c>
      <c r="J234" s="116">
        <f t="shared" si="70"/>
        <v>2209955.3</v>
      </c>
      <c r="K234" s="116">
        <f t="shared" si="70"/>
        <v>2512845.1</v>
      </c>
      <c r="L234" s="116">
        <f t="shared" si="70"/>
        <v>1338582.9</v>
      </c>
      <c r="M234" s="116">
        <f t="shared" si="70"/>
        <v>577349.3</v>
      </c>
      <c r="N234" s="125">
        <f t="shared" si="70"/>
        <v>15259531.670000002</v>
      </c>
    </row>
    <row r="235" spans="1:14" s="3" customFormat="1" ht="13.5" thickBot="1">
      <c r="A235" s="378"/>
      <c r="B235" s="378"/>
      <c r="C235" s="148" t="s">
        <v>199</v>
      </c>
      <c r="D235" s="126">
        <f t="shared" si="70"/>
        <v>30817.25000000003</v>
      </c>
      <c r="E235" s="126">
        <f t="shared" si="70"/>
        <v>142251.09999999998</v>
      </c>
      <c r="F235" s="126">
        <f t="shared" si="70"/>
        <v>1925.019999999999</v>
      </c>
      <c r="G235" s="126">
        <f t="shared" si="70"/>
        <v>333149.9199999999</v>
      </c>
      <c r="H235" s="126">
        <f t="shared" si="70"/>
        <v>215995.52000000008</v>
      </c>
      <c r="I235" s="126">
        <f t="shared" si="70"/>
        <v>334377.1000000001</v>
      </c>
      <c r="J235" s="126">
        <f t="shared" si="70"/>
        <v>312871.49</v>
      </c>
      <c r="K235" s="126">
        <f t="shared" si="70"/>
        <v>170723.81999999998</v>
      </c>
      <c r="L235" s="126">
        <f t="shared" si="70"/>
        <v>472510.3599999999</v>
      </c>
      <c r="M235" s="126">
        <f t="shared" si="70"/>
        <v>73068.18</v>
      </c>
      <c r="N235" s="127">
        <f t="shared" si="70"/>
        <v>2087689.76</v>
      </c>
    </row>
    <row r="236" spans="1:14" s="3" customFormat="1" ht="13.5" customHeight="1">
      <c r="A236" s="390" t="s">
        <v>110</v>
      </c>
      <c r="B236" s="470" t="s">
        <v>55</v>
      </c>
      <c r="C236" s="136" t="s">
        <v>175</v>
      </c>
      <c r="D236" s="137">
        <f>-61.66+10.18</f>
        <v>-51.48</v>
      </c>
      <c r="E236" s="137">
        <v>3074.54</v>
      </c>
      <c r="F236" s="137">
        <v>-9.03</v>
      </c>
      <c r="G236" s="137">
        <f>-985.49+3158.44</f>
        <v>2172.95</v>
      </c>
      <c r="H236" s="137">
        <f>-1565.35-3174.9</f>
        <v>-4740.25</v>
      </c>
      <c r="I236" s="137">
        <f>-330.5+5240.64</f>
        <v>4910.14</v>
      </c>
      <c r="J236" s="168">
        <f>-218.19+4845.37</f>
        <v>4627.18</v>
      </c>
      <c r="K236" s="137">
        <f>-441.33+2811.05</f>
        <v>2369.7200000000003</v>
      </c>
      <c r="L236" s="137">
        <f>8105.16</f>
        <v>8105.16</v>
      </c>
      <c r="M236" s="137">
        <f>-126.11+838.23</f>
        <v>712.12</v>
      </c>
      <c r="N236" s="138">
        <f aca="true" t="shared" si="71" ref="N236:N305">M236+L236+K236+J236+I236+H236+G236+F236+E236+D236</f>
        <v>21171.050000000003</v>
      </c>
    </row>
    <row r="237" spans="1:14" s="3" customFormat="1" ht="12.75">
      <c r="A237" s="391"/>
      <c r="B237" s="471"/>
      <c r="C237" s="128" t="s">
        <v>1</v>
      </c>
      <c r="D237" s="69">
        <f>61.66+9720</f>
        <v>9781.66</v>
      </c>
      <c r="E237" s="69">
        <v>3103.66</v>
      </c>
      <c r="F237" s="69">
        <v>0</v>
      </c>
      <c r="G237" s="69">
        <f>986.12+28935</f>
        <v>29921.12</v>
      </c>
      <c r="H237" s="69">
        <f>1565.35+35910</f>
        <v>37475.35</v>
      </c>
      <c r="I237" s="69">
        <f>330.5+35100</f>
        <v>35430.5</v>
      </c>
      <c r="J237" s="155">
        <f>218.19+33477.45</f>
        <v>33695.64</v>
      </c>
      <c r="K237" s="69">
        <f>441.33+34110</f>
        <v>34551.33</v>
      </c>
      <c r="L237" s="69">
        <v>34598.03</v>
      </c>
      <c r="M237" s="69">
        <f>126.11+9180</f>
        <v>9306.11</v>
      </c>
      <c r="N237" s="139">
        <f t="shared" si="71"/>
        <v>227863.4</v>
      </c>
    </row>
    <row r="238" spans="1:14" s="3" customFormat="1" ht="12.75">
      <c r="A238" s="391"/>
      <c r="B238" s="471"/>
      <c r="C238" s="128" t="s">
        <v>2</v>
      </c>
      <c r="D238" s="69">
        <v>10104.15</v>
      </c>
      <c r="E238" s="69">
        <v>3278.62</v>
      </c>
      <c r="F238" s="69">
        <v>0</v>
      </c>
      <c r="G238" s="69">
        <f>0.63+28563.11</f>
        <v>28563.74</v>
      </c>
      <c r="H238" s="69">
        <v>35539.94</v>
      </c>
      <c r="I238" s="69">
        <v>34708.96</v>
      </c>
      <c r="J238" s="155">
        <v>32405.53</v>
      </c>
      <c r="K238" s="69">
        <v>35076.56</v>
      </c>
      <c r="L238" s="69">
        <v>33037.29</v>
      </c>
      <c r="M238" s="69">
        <v>9208.03</v>
      </c>
      <c r="N238" s="139">
        <f t="shared" si="71"/>
        <v>221922.81999999998</v>
      </c>
    </row>
    <row r="239" spans="1:14" s="3" customFormat="1" ht="12.75">
      <c r="A239" s="391"/>
      <c r="B239" s="471"/>
      <c r="C239" s="128" t="s">
        <v>4</v>
      </c>
      <c r="D239" s="69">
        <f>+D237</f>
        <v>9781.66</v>
      </c>
      <c r="E239" s="69">
        <f aca="true" t="shared" si="72" ref="E239:M239">+E237</f>
        <v>3103.66</v>
      </c>
      <c r="F239" s="69">
        <f t="shared" si="72"/>
        <v>0</v>
      </c>
      <c r="G239" s="69">
        <f t="shared" si="72"/>
        <v>29921.12</v>
      </c>
      <c r="H239" s="69">
        <f t="shared" si="72"/>
        <v>37475.35</v>
      </c>
      <c r="I239" s="69">
        <f t="shared" si="72"/>
        <v>35430.5</v>
      </c>
      <c r="J239" s="69">
        <f t="shared" si="72"/>
        <v>33695.64</v>
      </c>
      <c r="K239" s="69">
        <f t="shared" si="72"/>
        <v>34551.33</v>
      </c>
      <c r="L239" s="69">
        <f t="shared" si="72"/>
        <v>34598.03</v>
      </c>
      <c r="M239" s="69">
        <f t="shared" si="72"/>
        <v>9306.11</v>
      </c>
      <c r="N239" s="139">
        <f t="shared" si="71"/>
        <v>227863.4</v>
      </c>
    </row>
    <row r="240" spans="1:14" s="3" customFormat="1" ht="12.75">
      <c r="A240" s="391"/>
      <c r="B240" s="471"/>
      <c r="C240" s="128" t="s">
        <v>3</v>
      </c>
      <c r="D240" s="133">
        <f>+D238</f>
        <v>10104.15</v>
      </c>
      <c r="E240" s="133">
        <f aca="true" t="shared" si="73" ref="E240:M240">+E238</f>
        <v>3278.62</v>
      </c>
      <c r="F240" s="133">
        <f t="shared" si="73"/>
        <v>0</v>
      </c>
      <c r="G240" s="133">
        <f t="shared" si="73"/>
        <v>28563.74</v>
      </c>
      <c r="H240" s="133">
        <f t="shared" si="73"/>
        <v>35539.94</v>
      </c>
      <c r="I240" s="133">
        <f t="shared" si="73"/>
        <v>34708.96</v>
      </c>
      <c r="J240" s="133">
        <f t="shared" si="73"/>
        <v>32405.53</v>
      </c>
      <c r="K240" s="133">
        <f t="shared" si="73"/>
        <v>35076.56</v>
      </c>
      <c r="L240" s="133">
        <f t="shared" si="73"/>
        <v>33037.29</v>
      </c>
      <c r="M240" s="133">
        <f t="shared" si="73"/>
        <v>9208.03</v>
      </c>
      <c r="N240" s="139">
        <f t="shared" si="71"/>
        <v>221922.81999999998</v>
      </c>
    </row>
    <row r="241" spans="1:14" s="3" customFormat="1" ht="13.5" thickBot="1">
      <c r="A241" s="391"/>
      <c r="B241" s="472"/>
      <c r="C241" s="140" t="s">
        <v>199</v>
      </c>
      <c r="D241" s="70">
        <f aca="true" t="shared" si="74" ref="D241:M241">D236+D237-D238</f>
        <v>-373.96999999999935</v>
      </c>
      <c r="E241" s="70">
        <f t="shared" si="74"/>
        <v>2899.58</v>
      </c>
      <c r="F241" s="70">
        <f t="shared" si="74"/>
        <v>-9.03</v>
      </c>
      <c r="G241" s="70">
        <f>G236+G237-G238</f>
        <v>3530.329999999998</v>
      </c>
      <c r="H241" s="70">
        <f t="shared" si="74"/>
        <v>-2804.840000000004</v>
      </c>
      <c r="I241" s="70">
        <f t="shared" si="74"/>
        <v>5631.68</v>
      </c>
      <c r="J241" s="70">
        <f t="shared" si="74"/>
        <v>5917.290000000001</v>
      </c>
      <c r="K241" s="70">
        <f t="shared" si="74"/>
        <v>1844.4900000000052</v>
      </c>
      <c r="L241" s="70">
        <f t="shared" si="74"/>
        <v>9665.900000000001</v>
      </c>
      <c r="M241" s="70">
        <f t="shared" si="74"/>
        <v>810.2000000000007</v>
      </c>
      <c r="N241" s="141">
        <f t="shared" si="71"/>
        <v>27111.630000000005</v>
      </c>
    </row>
    <row r="242" spans="1:14" s="3" customFormat="1" ht="13.5" customHeight="1" hidden="1" thickBot="1">
      <c r="A242" s="379" t="s">
        <v>32</v>
      </c>
      <c r="B242" s="456" t="s">
        <v>19</v>
      </c>
      <c r="C242" s="135" t="s">
        <v>156</v>
      </c>
      <c r="D242" s="79"/>
      <c r="E242" s="79">
        <v>-11.18</v>
      </c>
      <c r="F242" s="79">
        <v>-4.38</v>
      </c>
      <c r="G242" s="79">
        <v>-4.38</v>
      </c>
      <c r="H242" s="79"/>
      <c r="I242" s="79"/>
      <c r="J242" s="79"/>
      <c r="K242" s="79"/>
      <c r="L242" s="79"/>
      <c r="M242" s="79"/>
      <c r="N242" s="79">
        <f t="shared" si="71"/>
        <v>-19.939999999999998</v>
      </c>
    </row>
    <row r="243" spans="1:14" s="3" customFormat="1" ht="12.75" customHeight="1" hidden="1">
      <c r="A243" s="379"/>
      <c r="B243" s="467"/>
      <c r="C243" s="128" t="s">
        <v>1</v>
      </c>
      <c r="D243" s="80"/>
      <c r="E243" s="80">
        <v>0</v>
      </c>
      <c r="F243" s="80">
        <v>0</v>
      </c>
      <c r="G243" s="80">
        <v>0</v>
      </c>
      <c r="H243" s="80"/>
      <c r="I243" s="80"/>
      <c r="J243" s="80"/>
      <c r="K243" s="80"/>
      <c r="L243" s="80"/>
      <c r="M243" s="80"/>
      <c r="N243" s="80">
        <f t="shared" si="71"/>
        <v>0</v>
      </c>
    </row>
    <row r="244" spans="1:14" s="3" customFormat="1" ht="12.75" customHeight="1" hidden="1">
      <c r="A244" s="379"/>
      <c r="B244" s="467"/>
      <c r="C244" s="128" t="s">
        <v>2</v>
      </c>
      <c r="D244" s="80"/>
      <c r="E244" s="80">
        <v>0</v>
      </c>
      <c r="F244" s="80">
        <v>0</v>
      </c>
      <c r="G244" s="80">
        <v>0</v>
      </c>
      <c r="H244" s="80"/>
      <c r="I244" s="80"/>
      <c r="J244" s="80"/>
      <c r="K244" s="80"/>
      <c r="L244" s="80"/>
      <c r="M244" s="80"/>
      <c r="N244" s="80">
        <f t="shared" si="71"/>
        <v>0</v>
      </c>
    </row>
    <row r="245" spans="1:14" s="3" customFormat="1" ht="12.75" customHeight="1" hidden="1">
      <c r="A245" s="379"/>
      <c r="B245" s="467"/>
      <c r="C245" s="128" t="s">
        <v>4</v>
      </c>
      <c r="D245" s="130">
        <f aca="true" t="shared" si="75" ref="D245:M245">D243</f>
        <v>0</v>
      </c>
      <c r="E245" s="130">
        <f t="shared" si="75"/>
        <v>0</v>
      </c>
      <c r="F245" s="130">
        <f t="shared" si="75"/>
        <v>0</v>
      </c>
      <c r="G245" s="130">
        <f>G243</f>
        <v>0</v>
      </c>
      <c r="H245" s="130">
        <f t="shared" si="75"/>
        <v>0</v>
      </c>
      <c r="I245" s="130">
        <f t="shared" si="75"/>
        <v>0</v>
      </c>
      <c r="J245" s="130">
        <f t="shared" si="75"/>
        <v>0</v>
      </c>
      <c r="K245" s="130">
        <f t="shared" si="75"/>
        <v>0</v>
      </c>
      <c r="L245" s="130">
        <f t="shared" si="75"/>
        <v>0</v>
      </c>
      <c r="M245" s="130">
        <f t="shared" si="75"/>
        <v>0</v>
      </c>
      <c r="N245" s="80">
        <f t="shared" si="71"/>
        <v>0</v>
      </c>
    </row>
    <row r="246" spans="1:14" s="3" customFormat="1" ht="12.75" customHeight="1" hidden="1">
      <c r="A246" s="379"/>
      <c r="B246" s="467"/>
      <c r="C246" s="128" t="s">
        <v>3</v>
      </c>
      <c r="D246" s="130">
        <f aca="true" t="shared" si="76" ref="D246:M246">D243</f>
        <v>0</v>
      </c>
      <c r="E246" s="130">
        <f t="shared" si="76"/>
        <v>0</v>
      </c>
      <c r="F246" s="130">
        <f t="shared" si="76"/>
        <v>0</v>
      </c>
      <c r="G246" s="130">
        <f>G243</f>
        <v>0</v>
      </c>
      <c r="H246" s="130">
        <f t="shared" si="76"/>
        <v>0</v>
      </c>
      <c r="I246" s="130">
        <f t="shared" si="76"/>
        <v>0</v>
      </c>
      <c r="J246" s="130">
        <f t="shared" si="76"/>
        <v>0</v>
      </c>
      <c r="K246" s="130">
        <f t="shared" si="76"/>
        <v>0</v>
      </c>
      <c r="L246" s="130">
        <f t="shared" si="76"/>
        <v>0</v>
      </c>
      <c r="M246" s="130">
        <f t="shared" si="76"/>
        <v>0</v>
      </c>
      <c r="N246" s="80">
        <f t="shared" si="71"/>
        <v>0</v>
      </c>
    </row>
    <row r="247" spans="1:14" s="3" customFormat="1" ht="12.75" customHeight="1" hidden="1">
      <c r="A247" s="379"/>
      <c r="B247" s="467"/>
      <c r="C247" s="15" t="s">
        <v>160</v>
      </c>
      <c r="D247" s="92">
        <f aca="true" t="shared" si="77" ref="D247:M247">D242+D243-D244</f>
        <v>0</v>
      </c>
      <c r="E247" s="92">
        <f t="shared" si="77"/>
        <v>-11.18</v>
      </c>
      <c r="F247" s="92">
        <f t="shared" si="77"/>
        <v>-4.38</v>
      </c>
      <c r="G247" s="92">
        <f>G242+G243-G244</f>
        <v>-4.38</v>
      </c>
      <c r="H247" s="92">
        <f t="shared" si="77"/>
        <v>0</v>
      </c>
      <c r="I247" s="92">
        <f t="shared" si="77"/>
        <v>0</v>
      </c>
      <c r="J247" s="92">
        <f t="shared" si="77"/>
        <v>0</v>
      </c>
      <c r="K247" s="92">
        <f t="shared" si="77"/>
        <v>0</v>
      </c>
      <c r="L247" s="92">
        <f t="shared" si="77"/>
        <v>0</v>
      </c>
      <c r="M247" s="92">
        <f t="shared" si="77"/>
        <v>0</v>
      </c>
      <c r="N247" s="129">
        <f t="shared" si="71"/>
        <v>-19.939999999999998</v>
      </c>
    </row>
    <row r="248" spans="1:14" s="3" customFormat="1" ht="12.75" customHeight="1" hidden="1">
      <c r="A248" s="379" t="s">
        <v>46</v>
      </c>
      <c r="B248" s="467" t="s">
        <v>38</v>
      </c>
      <c r="C248" s="128" t="s">
        <v>156</v>
      </c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>
        <f t="shared" si="71"/>
        <v>0</v>
      </c>
    </row>
    <row r="249" spans="1:14" s="3" customFormat="1" ht="12.75" customHeight="1" hidden="1">
      <c r="A249" s="379"/>
      <c r="B249" s="467"/>
      <c r="C249" s="128" t="s">
        <v>1</v>
      </c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>
        <f t="shared" si="71"/>
        <v>0</v>
      </c>
    </row>
    <row r="250" spans="1:14" s="3" customFormat="1" ht="12.75" customHeight="1" hidden="1">
      <c r="A250" s="379"/>
      <c r="B250" s="467"/>
      <c r="C250" s="128" t="s">
        <v>2</v>
      </c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>
        <f t="shared" si="71"/>
        <v>0</v>
      </c>
    </row>
    <row r="251" spans="1:14" s="3" customFormat="1" ht="12.75" customHeight="1" hidden="1">
      <c r="A251" s="379"/>
      <c r="B251" s="467"/>
      <c r="C251" s="128" t="s">
        <v>4</v>
      </c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>
        <f t="shared" si="71"/>
        <v>0</v>
      </c>
    </row>
    <row r="252" spans="1:14" s="3" customFormat="1" ht="12.75" customHeight="1" hidden="1">
      <c r="A252" s="379"/>
      <c r="B252" s="467"/>
      <c r="C252" s="128" t="s">
        <v>3</v>
      </c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80">
        <f t="shared" si="71"/>
        <v>0</v>
      </c>
    </row>
    <row r="253" spans="1:14" s="3" customFormat="1" ht="12.75" customHeight="1" hidden="1">
      <c r="A253" s="379"/>
      <c r="B253" s="467"/>
      <c r="C253" s="15" t="s">
        <v>160</v>
      </c>
      <c r="D253" s="92">
        <f>D248+D249-D250</f>
        <v>0</v>
      </c>
      <c r="E253" s="92"/>
      <c r="F253" s="92"/>
      <c r="G253" s="92"/>
      <c r="H253" s="92"/>
      <c r="I253" s="92"/>
      <c r="J253" s="92"/>
      <c r="K253" s="92"/>
      <c r="L253" s="92"/>
      <c r="M253" s="92"/>
      <c r="N253" s="129">
        <f t="shared" si="71"/>
        <v>0</v>
      </c>
    </row>
    <row r="254" spans="1:14" s="3" customFormat="1" ht="12.75" customHeight="1" hidden="1">
      <c r="A254" s="379" t="s">
        <v>79</v>
      </c>
      <c r="B254" s="467" t="s">
        <v>38</v>
      </c>
      <c r="C254" s="128" t="s">
        <v>156</v>
      </c>
      <c r="D254" s="80">
        <f>-931.98-61.66</f>
        <v>-993.64</v>
      </c>
      <c r="E254" s="80"/>
      <c r="F254" s="80">
        <v>-74.2</v>
      </c>
      <c r="G254" s="80">
        <v>-74.2</v>
      </c>
      <c r="H254" s="80">
        <f>-881.77+-234.5</f>
        <v>-1116.27</v>
      </c>
      <c r="I254" s="80">
        <f>-3844.4-189</f>
        <v>-4033.4</v>
      </c>
      <c r="J254" s="80">
        <f>-4459.28-63.85</f>
        <v>-4523.13</v>
      </c>
      <c r="K254" s="80">
        <f>-4864.55-183.78</f>
        <v>-5048.33</v>
      </c>
      <c r="L254" s="80">
        <v>-167.17</v>
      </c>
      <c r="M254" s="80">
        <v>-940.92</v>
      </c>
      <c r="N254" s="80">
        <f t="shared" si="71"/>
        <v>-16971.260000000002</v>
      </c>
    </row>
    <row r="255" spans="1:14" s="3" customFormat="1" ht="12.75" customHeight="1" hidden="1">
      <c r="A255" s="379"/>
      <c r="B255" s="467"/>
      <c r="C255" s="128" t="s">
        <v>1</v>
      </c>
      <c r="D255" s="80">
        <v>0</v>
      </c>
      <c r="E255" s="80"/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f t="shared" si="71"/>
        <v>0</v>
      </c>
    </row>
    <row r="256" spans="1:14" s="3" customFormat="1" ht="12.75" customHeight="1" hidden="1">
      <c r="A256" s="379"/>
      <c r="B256" s="467"/>
      <c r="C256" s="128" t="s">
        <v>2</v>
      </c>
      <c r="D256" s="80">
        <v>0</v>
      </c>
      <c r="E256" s="80"/>
      <c r="F256" s="80">
        <v>0</v>
      </c>
      <c r="G256" s="80">
        <v>0</v>
      </c>
      <c r="H256" s="80">
        <v>51.28</v>
      </c>
      <c r="I256" s="80">
        <v>4.58</v>
      </c>
      <c r="J256" s="80">
        <f>35.04+74.88</f>
        <v>109.91999999999999</v>
      </c>
      <c r="K256" s="80">
        <f>99.21+76.51</f>
        <v>175.72</v>
      </c>
      <c r="L256" s="80">
        <v>1376.66</v>
      </c>
      <c r="M256" s="80">
        <v>0</v>
      </c>
      <c r="N256" s="80">
        <f t="shared" si="71"/>
        <v>1718.16</v>
      </c>
    </row>
    <row r="257" spans="1:14" s="3" customFormat="1" ht="12.75" customHeight="1" hidden="1" thickBot="1">
      <c r="A257" s="379"/>
      <c r="B257" s="467"/>
      <c r="C257" s="128" t="s">
        <v>4</v>
      </c>
      <c r="D257" s="130">
        <f aca="true" t="shared" si="78" ref="D257:M257">D255</f>
        <v>0</v>
      </c>
      <c r="E257" s="130">
        <f t="shared" si="78"/>
        <v>0</v>
      </c>
      <c r="F257" s="130">
        <f t="shared" si="78"/>
        <v>0</v>
      </c>
      <c r="G257" s="130">
        <f>G255</f>
        <v>0</v>
      </c>
      <c r="H257" s="130">
        <f t="shared" si="78"/>
        <v>0</v>
      </c>
      <c r="I257" s="130">
        <f t="shared" si="78"/>
        <v>0</v>
      </c>
      <c r="J257" s="130">
        <f t="shared" si="78"/>
        <v>0</v>
      </c>
      <c r="K257" s="130">
        <f t="shared" si="78"/>
        <v>0</v>
      </c>
      <c r="L257" s="130">
        <f t="shared" si="78"/>
        <v>0</v>
      </c>
      <c r="M257" s="130">
        <f t="shared" si="78"/>
        <v>0</v>
      </c>
      <c r="N257" s="80">
        <f t="shared" si="71"/>
        <v>0</v>
      </c>
    </row>
    <row r="258" spans="1:14" s="3" customFormat="1" ht="12.75" customHeight="1" hidden="1">
      <c r="A258" s="379"/>
      <c r="B258" s="467"/>
      <c r="C258" s="128" t="s">
        <v>3</v>
      </c>
      <c r="D258" s="130">
        <f aca="true" t="shared" si="79" ref="D258:M258">D255</f>
        <v>0</v>
      </c>
      <c r="E258" s="130">
        <f t="shared" si="79"/>
        <v>0</v>
      </c>
      <c r="F258" s="130">
        <f t="shared" si="79"/>
        <v>0</v>
      </c>
      <c r="G258" s="130">
        <f>G255</f>
        <v>0</v>
      </c>
      <c r="H258" s="130">
        <f t="shared" si="79"/>
        <v>0</v>
      </c>
      <c r="I258" s="130">
        <f t="shared" si="79"/>
        <v>0</v>
      </c>
      <c r="J258" s="130">
        <f t="shared" si="79"/>
        <v>0</v>
      </c>
      <c r="K258" s="130">
        <f t="shared" si="79"/>
        <v>0</v>
      </c>
      <c r="L258" s="130">
        <f t="shared" si="79"/>
        <v>0</v>
      </c>
      <c r="M258" s="130">
        <f t="shared" si="79"/>
        <v>0</v>
      </c>
      <c r="N258" s="80">
        <f t="shared" si="71"/>
        <v>0</v>
      </c>
    </row>
    <row r="259" spans="1:14" s="3" customFormat="1" ht="12.75" customHeight="1" hidden="1">
      <c r="A259" s="379"/>
      <c r="B259" s="467"/>
      <c r="C259" s="15" t="s">
        <v>160</v>
      </c>
      <c r="D259" s="92">
        <f aca="true" t="shared" si="80" ref="D259:M259">D254+D255-D256</f>
        <v>-993.64</v>
      </c>
      <c r="E259" s="92">
        <f t="shared" si="80"/>
        <v>0</v>
      </c>
      <c r="F259" s="92">
        <f t="shared" si="80"/>
        <v>-74.2</v>
      </c>
      <c r="G259" s="92">
        <f>G254+G255-G256</f>
        <v>-74.2</v>
      </c>
      <c r="H259" s="92">
        <f t="shared" si="80"/>
        <v>-1167.55</v>
      </c>
      <c r="I259" s="92">
        <f t="shared" si="80"/>
        <v>-4037.98</v>
      </c>
      <c r="J259" s="92">
        <f t="shared" si="80"/>
        <v>-4633.05</v>
      </c>
      <c r="K259" s="92">
        <f t="shared" si="80"/>
        <v>-5224.05</v>
      </c>
      <c r="L259" s="92">
        <f t="shared" si="80"/>
        <v>-1543.8300000000002</v>
      </c>
      <c r="M259" s="92">
        <f t="shared" si="80"/>
        <v>-940.92</v>
      </c>
      <c r="N259" s="129">
        <f t="shared" si="71"/>
        <v>-18689.420000000002</v>
      </c>
    </row>
    <row r="260" spans="1:14" s="24" customFormat="1" ht="12.75" customHeight="1" hidden="1">
      <c r="A260" s="379" t="s">
        <v>25</v>
      </c>
      <c r="B260" s="467" t="s">
        <v>26</v>
      </c>
      <c r="C260" s="128" t="s">
        <v>156</v>
      </c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80">
        <f t="shared" si="71"/>
        <v>0</v>
      </c>
    </row>
    <row r="261" spans="1:14" s="24" customFormat="1" ht="12.75" customHeight="1" hidden="1">
      <c r="A261" s="379"/>
      <c r="B261" s="467"/>
      <c r="C261" s="128" t="s">
        <v>1</v>
      </c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80">
        <f t="shared" si="71"/>
        <v>0</v>
      </c>
    </row>
    <row r="262" spans="1:14" s="24" customFormat="1" ht="12.75" customHeight="1" hidden="1">
      <c r="A262" s="379"/>
      <c r="B262" s="467"/>
      <c r="C262" s="128" t="s">
        <v>2</v>
      </c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80">
        <f t="shared" si="71"/>
        <v>0</v>
      </c>
    </row>
    <row r="263" spans="1:14" s="24" customFormat="1" ht="12.75" customHeight="1" hidden="1">
      <c r="A263" s="379"/>
      <c r="B263" s="467"/>
      <c r="C263" s="128" t="s">
        <v>4</v>
      </c>
      <c r="D263" s="130">
        <f aca="true" t="shared" si="81" ref="D263:M263">D261</f>
        <v>0</v>
      </c>
      <c r="E263" s="130">
        <f t="shared" si="81"/>
        <v>0</v>
      </c>
      <c r="F263" s="130">
        <f t="shared" si="81"/>
        <v>0</v>
      </c>
      <c r="G263" s="130">
        <f>G261</f>
        <v>0</v>
      </c>
      <c r="H263" s="130">
        <f t="shared" si="81"/>
        <v>0</v>
      </c>
      <c r="I263" s="130">
        <f t="shared" si="81"/>
        <v>0</v>
      </c>
      <c r="J263" s="130">
        <f t="shared" si="81"/>
        <v>0</v>
      </c>
      <c r="K263" s="130">
        <f t="shared" si="81"/>
        <v>0</v>
      </c>
      <c r="L263" s="130">
        <f t="shared" si="81"/>
        <v>0</v>
      </c>
      <c r="M263" s="130">
        <f t="shared" si="81"/>
        <v>0</v>
      </c>
      <c r="N263" s="80">
        <f t="shared" si="71"/>
        <v>0</v>
      </c>
    </row>
    <row r="264" spans="1:14" s="24" customFormat="1" ht="12.75" customHeight="1" hidden="1">
      <c r="A264" s="379"/>
      <c r="B264" s="467"/>
      <c r="C264" s="128" t="s">
        <v>3</v>
      </c>
      <c r="D264" s="130">
        <f aca="true" t="shared" si="82" ref="D264:M264">D261</f>
        <v>0</v>
      </c>
      <c r="E264" s="130">
        <f t="shared" si="82"/>
        <v>0</v>
      </c>
      <c r="F264" s="130">
        <f t="shared" si="82"/>
        <v>0</v>
      </c>
      <c r="G264" s="130">
        <f>G261</f>
        <v>0</v>
      </c>
      <c r="H264" s="130">
        <f t="shared" si="82"/>
        <v>0</v>
      </c>
      <c r="I264" s="130">
        <f t="shared" si="82"/>
        <v>0</v>
      </c>
      <c r="J264" s="130">
        <f t="shared" si="82"/>
        <v>0</v>
      </c>
      <c r="K264" s="130">
        <f t="shared" si="82"/>
        <v>0</v>
      </c>
      <c r="L264" s="130">
        <f t="shared" si="82"/>
        <v>0</v>
      </c>
      <c r="M264" s="130">
        <f t="shared" si="82"/>
        <v>0</v>
      </c>
      <c r="N264" s="80">
        <f t="shared" si="71"/>
        <v>0</v>
      </c>
    </row>
    <row r="265" spans="1:14" s="3" customFormat="1" ht="12.75" customHeight="1" hidden="1">
      <c r="A265" s="379"/>
      <c r="B265" s="467"/>
      <c r="C265" s="15" t="s">
        <v>160</v>
      </c>
      <c r="D265" s="92">
        <f aca="true" t="shared" si="83" ref="D265:M265">D260+D261-D262</f>
        <v>0</v>
      </c>
      <c r="E265" s="92">
        <f t="shared" si="83"/>
        <v>0</v>
      </c>
      <c r="F265" s="92">
        <f t="shared" si="83"/>
        <v>0</v>
      </c>
      <c r="G265" s="92">
        <f>G260+G261-G262</f>
        <v>0</v>
      </c>
      <c r="H265" s="92">
        <f t="shared" si="83"/>
        <v>0</v>
      </c>
      <c r="I265" s="92">
        <f t="shared" si="83"/>
        <v>0</v>
      </c>
      <c r="J265" s="92">
        <f t="shared" si="83"/>
        <v>0</v>
      </c>
      <c r="K265" s="92">
        <f t="shared" si="83"/>
        <v>0</v>
      </c>
      <c r="L265" s="92">
        <f t="shared" si="83"/>
        <v>0</v>
      </c>
      <c r="M265" s="92">
        <f t="shared" si="83"/>
        <v>0</v>
      </c>
      <c r="N265" s="129">
        <f t="shared" si="71"/>
        <v>0</v>
      </c>
    </row>
    <row r="266" spans="1:14" s="3" customFormat="1" ht="12.75" customHeight="1" hidden="1">
      <c r="A266" s="379" t="s">
        <v>35</v>
      </c>
      <c r="B266" s="467" t="s">
        <v>55</v>
      </c>
      <c r="C266" s="128" t="s">
        <v>156</v>
      </c>
      <c r="D266" s="80"/>
      <c r="E266" s="80"/>
      <c r="F266" s="80"/>
      <c r="G266" s="80"/>
      <c r="H266" s="80"/>
      <c r="I266" s="80"/>
      <c r="J266" s="80"/>
      <c r="K266" s="80"/>
      <c r="L266" s="80">
        <v>2323.56</v>
      </c>
      <c r="M266" s="80"/>
      <c r="N266" s="80">
        <f t="shared" si="71"/>
        <v>2323.56</v>
      </c>
    </row>
    <row r="267" spans="1:14" s="3" customFormat="1" ht="12.75" customHeight="1" hidden="1">
      <c r="A267" s="379"/>
      <c r="B267" s="467"/>
      <c r="C267" s="128" t="s">
        <v>1</v>
      </c>
      <c r="D267" s="80"/>
      <c r="E267" s="80"/>
      <c r="F267" s="80"/>
      <c r="G267" s="80"/>
      <c r="H267" s="80"/>
      <c r="I267" s="80"/>
      <c r="J267" s="80"/>
      <c r="K267" s="80"/>
      <c r="L267" s="80">
        <v>0</v>
      </c>
      <c r="M267" s="80"/>
      <c r="N267" s="80">
        <f t="shared" si="71"/>
        <v>0</v>
      </c>
    </row>
    <row r="268" spans="1:14" s="3" customFormat="1" ht="12.75" customHeight="1" hidden="1">
      <c r="A268" s="379"/>
      <c r="B268" s="467"/>
      <c r="C268" s="128" t="s">
        <v>2</v>
      </c>
      <c r="D268" s="80"/>
      <c r="E268" s="80"/>
      <c r="F268" s="80"/>
      <c r="G268" s="80"/>
      <c r="H268" s="80"/>
      <c r="I268" s="80"/>
      <c r="J268" s="80"/>
      <c r="K268" s="80"/>
      <c r="L268" s="80">
        <v>0</v>
      </c>
      <c r="M268" s="80"/>
      <c r="N268" s="80">
        <f t="shared" si="71"/>
        <v>0</v>
      </c>
    </row>
    <row r="269" spans="1:14" s="3" customFormat="1" ht="12.75" customHeight="1" hidden="1">
      <c r="A269" s="379"/>
      <c r="B269" s="467"/>
      <c r="C269" s="128" t="s">
        <v>4</v>
      </c>
      <c r="D269" s="130">
        <f aca="true" t="shared" si="84" ref="D269:M269">D267</f>
        <v>0</v>
      </c>
      <c r="E269" s="130">
        <f t="shared" si="84"/>
        <v>0</v>
      </c>
      <c r="F269" s="130">
        <f t="shared" si="84"/>
        <v>0</v>
      </c>
      <c r="G269" s="130">
        <f>G267</f>
        <v>0</v>
      </c>
      <c r="H269" s="130">
        <f t="shared" si="84"/>
        <v>0</v>
      </c>
      <c r="I269" s="130">
        <f t="shared" si="84"/>
        <v>0</v>
      </c>
      <c r="J269" s="130">
        <f t="shared" si="84"/>
        <v>0</v>
      </c>
      <c r="K269" s="130">
        <f t="shared" si="84"/>
        <v>0</v>
      </c>
      <c r="L269" s="130">
        <f t="shared" si="84"/>
        <v>0</v>
      </c>
      <c r="M269" s="130">
        <f t="shared" si="84"/>
        <v>0</v>
      </c>
      <c r="N269" s="80">
        <f t="shared" si="71"/>
        <v>0</v>
      </c>
    </row>
    <row r="270" spans="1:14" s="3" customFormat="1" ht="12.75" customHeight="1" hidden="1">
      <c r="A270" s="379"/>
      <c r="B270" s="467"/>
      <c r="C270" s="128" t="s">
        <v>3</v>
      </c>
      <c r="D270" s="130">
        <f aca="true" t="shared" si="85" ref="D270:M270">D267</f>
        <v>0</v>
      </c>
      <c r="E270" s="130">
        <f t="shared" si="85"/>
        <v>0</v>
      </c>
      <c r="F270" s="130">
        <f t="shared" si="85"/>
        <v>0</v>
      </c>
      <c r="G270" s="130">
        <f>G267</f>
        <v>0</v>
      </c>
      <c r="H270" s="130">
        <f t="shared" si="85"/>
        <v>0</v>
      </c>
      <c r="I270" s="130">
        <f t="shared" si="85"/>
        <v>0</v>
      </c>
      <c r="J270" s="130">
        <f t="shared" si="85"/>
        <v>0</v>
      </c>
      <c r="K270" s="130">
        <f t="shared" si="85"/>
        <v>0</v>
      </c>
      <c r="L270" s="130">
        <f t="shared" si="85"/>
        <v>0</v>
      </c>
      <c r="M270" s="130">
        <f t="shared" si="85"/>
        <v>0</v>
      </c>
      <c r="N270" s="80">
        <f t="shared" si="71"/>
        <v>0</v>
      </c>
    </row>
    <row r="271" spans="1:14" s="3" customFormat="1" ht="12.75" customHeight="1" hidden="1">
      <c r="A271" s="379"/>
      <c r="B271" s="467"/>
      <c r="C271" s="15" t="s">
        <v>160</v>
      </c>
      <c r="D271" s="92">
        <f aca="true" t="shared" si="86" ref="D271:M271">D266+D267-D268</f>
        <v>0</v>
      </c>
      <c r="E271" s="92">
        <f t="shared" si="86"/>
        <v>0</v>
      </c>
      <c r="F271" s="92">
        <f t="shared" si="86"/>
        <v>0</v>
      </c>
      <c r="G271" s="92">
        <f>G266+G267-G268</f>
        <v>0</v>
      </c>
      <c r="H271" s="92">
        <f t="shared" si="86"/>
        <v>0</v>
      </c>
      <c r="I271" s="92">
        <f t="shared" si="86"/>
        <v>0</v>
      </c>
      <c r="J271" s="92">
        <f t="shared" si="86"/>
        <v>0</v>
      </c>
      <c r="K271" s="92">
        <f t="shared" si="86"/>
        <v>0</v>
      </c>
      <c r="L271" s="92">
        <f t="shared" si="86"/>
        <v>2323.56</v>
      </c>
      <c r="M271" s="92">
        <f t="shared" si="86"/>
        <v>0</v>
      </c>
      <c r="N271" s="129">
        <f t="shared" si="71"/>
        <v>2323.56</v>
      </c>
    </row>
    <row r="272" spans="1:14" s="3" customFormat="1" ht="12.75" customHeight="1" hidden="1">
      <c r="A272" s="379" t="s">
        <v>35</v>
      </c>
      <c r="B272" s="467" t="s">
        <v>24</v>
      </c>
      <c r="C272" s="128" t="s">
        <v>156</v>
      </c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>
        <f t="shared" si="71"/>
        <v>0</v>
      </c>
    </row>
    <row r="273" spans="1:14" s="3" customFormat="1" ht="12.75" customHeight="1" hidden="1">
      <c r="A273" s="379"/>
      <c r="B273" s="467"/>
      <c r="C273" s="128" t="s">
        <v>1</v>
      </c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>
        <f t="shared" si="71"/>
        <v>0</v>
      </c>
    </row>
    <row r="274" spans="1:14" s="3" customFormat="1" ht="12.75" customHeight="1" hidden="1">
      <c r="A274" s="379"/>
      <c r="B274" s="467"/>
      <c r="C274" s="128" t="s">
        <v>2</v>
      </c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>
        <f t="shared" si="71"/>
        <v>0</v>
      </c>
    </row>
    <row r="275" spans="1:14" s="3" customFormat="1" ht="12.75" customHeight="1" hidden="1">
      <c r="A275" s="379"/>
      <c r="B275" s="467"/>
      <c r="C275" s="128" t="s">
        <v>4</v>
      </c>
      <c r="D275" s="130">
        <f aca="true" t="shared" si="87" ref="D275:M275">D279</f>
        <v>0</v>
      </c>
      <c r="E275" s="130">
        <f t="shared" si="87"/>
        <v>0</v>
      </c>
      <c r="F275" s="130">
        <f t="shared" si="87"/>
        <v>0</v>
      </c>
      <c r="G275" s="130">
        <f>G279</f>
        <v>0</v>
      </c>
      <c r="H275" s="130">
        <f t="shared" si="87"/>
        <v>0</v>
      </c>
      <c r="I275" s="130">
        <f t="shared" si="87"/>
        <v>0</v>
      </c>
      <c r="J275" s="130">
        <f t="shared" si="87"/>
        <v>0</v>
      </c>
      <c r="K275" s="130">
        <f t="shared" si="87"/>
        <v>0</v>
      </c>
      <c r="L275" s="130">
        <f t="shared" si="87"/>
        <v>0</v>
      </c>
      <c r="M275" s="130">
        <f t="shared" si="87"/>
        <v>0</v>
      </c>
      <c r="N275" s="80">
        <f t="shared" si="71"/>
        <v>0</v>
      </c>
    </row>
    <row r="276" spans="1:14" s="3" customFormat="1" ht="12.75" customHeight="1" hidden="1">
      <c r="A276" s="379"/>
      <c r="B276" s="467"/>
      <c r="C276" s="128" t="s">
        <v>3</v>
      </c>
      <c r="D276" s="130">
        <f aca="true" t="shared" si="88" ref="D276:M276">D279</f>
        <v>0</v>
      </c>
      <c r="E276" s="130">
        <f t="shared" si="88"/>
        <v>0</v>
      </c>
      <c r="F276" s="130">
        <f t="shared" si="88"/>
        <v>0</v>
      </c>
      <c r="G276" s="130">
        <f>G279</f>
        <v>0</v>
      </c>
      <c r="H276" s="130">
        <f t="shared" si="88"/>
        <v>0</v>
      </c>
      <c r="I276" s="130">
        <f t="shared" si="88"/>
        <v>0</v>
      </c>
      <c r="J276" s="130">
        <f t="shared" si="88"/>
        <v>0</v>
      </c>
      <c r="K276" s="130">
        <f t="shared" si="88"/>
        <v>0</v>
      </c>
      <c r="L276" s="130">
        <f t="shared" si="88"/>
        <v>0</v>
      </c>
      <c r="M276" s="130">
        <f t="shared" si="88"/>
        <v>0</v>
      </c>
      <c r="N276" s="80">
        <f t="shared" si="71"/>
        <v>0</v>
      </c>
    </row>
    <row r="277" spans="1:14" s="3" customFormat="1" ht="12.75" customHeight="1" hidden="1">
      <c r="A277" s="379"/>
      <c r="B277" s="467"/>
      <c r="C277" s="15" t="s">
        <v>160</v>
      </c>
      <c r="D277" s="92">
        <f aca="true" t="shared" si="89" ref="D277:M277">D272+D273-D274</f>
        <v>0</v>
      </c>
      <c r="E277" s="92">
        <f t="shared" si="89"/>
        <v>0</v>
      </c>
      <c r="F277" s="92">
        <f t="shared" si="89"/>
        <v>0</v>
      </c>
      <c r="G277" s="92">
        <f>G272+G273-G274</f>
        <v>0</v>
      </c>
      <c r="H277" s="92">
        <f t="shared" si="89"/>
        <v>0</v>
      </c>
      <c r="I277" s="92">
        <f t="shared" si="89"/>
        <v>0</v>
      </c>
      <c r="J277" s="92">
        <f t="shared" si="89"/>
        <v>0</v>
      </c>
      <c r="K277" s="92">
        <f t="shared" si="89"/>
        <v>0</v>
      </c>
      <c r="L277" s="92">
        <f t="shared" si="89"/>
        <v>0</v>
      </c>
      <c r="M277" s="92">
        <f t="shared" si="89"/>
        <v>0</v>
      </c>
      <c r="N277" s="129">
        <f t="shared" si="71"/>
        <v>0</v>
      </c>
    </row>
    <row r="278" spans="1:14" s="3" customFormat="1" ht="12.75" customHeight="1" hidden="1">
      <c r="A278" s="379" t="s">
        <v>35</v>
      </c>
      <c r="B278" s="467" t="s">
        <v>44</v>
      </c>
      <c r="C278" s="128" t="s">
        <v>156</v>
      </c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>
        <f t="shared" si="71"/>
        <v>0</v>
      </c>
    </row>
    <row r="279" spans="1:14" s="3" customFormat="1" ht="12.75" customHeight="1" hidden="1">
      <c r="A279" s="379"/>
      <c r="B279" s="467"/>
      <c r="C279" s="128" t="s">
        <v>1</v>
      </c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>
        <f t="shared" si="71"/>
        <v>0</v>
      </c>
    </row>
    <row r="280" spans="1:14" s="3" customFormat="1" ht="12.75" customHeight="1" hidden="1">
      <c r="A280" s="379"/>
      <c r="B280" s="467"/>
      <c r="C280" s="128" t="s">
        <v>2</v>
      </c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>
        <f t="shared" si="71"/>
        <v>0</v>
      </c>
    </row>
    <row r="281" spans="1:14" s="3" customFormat="1" ht="12.75" customHeight="1" hidden="1">
      <c r="A281" s="379"/>
      <c r="B281" s="467"/>
      <c r="C281" s="128" t="s">
        <v>4</v>
      </c>
      <c r="D281" s="130">
        <f>D279</f>
        <v>0</v>
      </c>
      <c r="E281" s="130"/>
      <c r="F281" s="130"/>
      <c r="G281" s="130"/>
      <c r="H281" s="130"/>
      <c r="I281" s="130"/>
      <c r="J281" s="130"/>
      <c r="K281" s="130"/>
      <c r="L281" s="130"/>
      <c r="M281" s="130"/>
      <c r="N281" s="80">
        <f t="shared" si="71"/>
        <v>0</v>
      </c>
    </row>
    <row r="282" spans="1:14" s="3" customFormat="1" ht="12.75" customHeight="1" hidden="1">
      <c r="A282" s="379"/>
      <c r="B282" s="467"/>
      <c r="C282" s="128" t="s">
        <v>3</v>
      </c>
      <c r="D282" s="130">
        <f>D279</f>
        <v>0</v>
      </c>
      <c r="E282" s="130"/>
      <c r="F282" s="130"/>
      <c r="G282" s="130"/>
      <c r="H282" s="130"/>
      <c r="I282" s="130"/>
      <c r="J282" s="130"/>
      <c r="K282" s="130"/>
      <c r="L282" s="130"/>
      <c r="M282" s="130"/>
      <c r="N282" s="80">
        <f t="shared" si="71"/>
        <v>0</v>
      </c>
    </row>
    <row r="283" spans="1:14" s="3" customFormat="1" ht="12.75" customHeight="1" hidden="1">
      <c r="A283" s="379"/>
      <c r="B283" s="454"/>
      <c r="C283" s="16" t="s">
        <v>160</v>
      </c>
      <c r="D283" s="134">
        <f>D278+D279-D280</f>
        <v>0</v>
      </c>
      <c r="E283" s="134"/>
      <c r="F283" s="134"/>
      <c r="G283" s="134"/>
      <c r="H283" s="134"/>
      <c r="I283" s="134"/>
      <c r="J283" s="134"/>
      <c r="K283" s="134"/>
      <c r="L283" s="134"/>
      <c r="M283" s="134"/>
      <c r="N283" s="91">
        <f t="shared" si="71"/>
        <v>0</v>
      </c>
    </row>
    <row r="284" spans="1:14" s="3" customFormat="1" ht="12.75">
      <c r="A284" s="391" t="s">
        <v>137</v>
      </c>
      <c r="B284" s="470" t="s">
        <v>30</v>
      </c>
      <c r="C284" s="136" t="s">
        <v>175</v>
      </c>
      <c r="D284" s="167"/>
      <c r="E284" s="167"/>
      <c r="F284" s="167"/>
      <c r="G284" s="137">
        <v>46486.54</v>
      </c>
      <c r="H284" s="167"/>
      <c r="I284" s="167"/>
      <c r="J284" s="167"/>
      <c r="K284" s="167"/>
      <c r="L284" s="167"/>
      <c r="M284" s="167"/>
      <c r="N284" s="138">
        <f t="shared" si="71"/>
        <v>46486.54</v>
      </c>
    </row>
    <row r="285" spans="1:14" s="3" customFormat="1" ht="12.75">
      <c r="A285" s="391"/>
      <c r="B285" s="471"/>
      <c r="C285" s="128" t="s">
        <v>1</v>
      </c>
      <c r="D285" s="80"/>
      <c r="E285" s="80"/>
      <c r="F285" s="80"/>
      <c r="G285" s="69">
        <v>424148.65</v>
      </c>
      <c r="H285" s="80"/>
      <c r="I285" s="80"/>
      <c r="J285" s="80"/>
      <c r="K285" s="80"/>
      <c r="L285" s="80"/>
      <c r="M285" s="80"/>
      <c r="N285" s="139">
        <f t="shared" si="71"/>
        <v>424148.65</v>
      </c>
    </row>
    <row r="286" spans="1:14" s="3" customFormat="1" ht="12.75">
      <c r="A286" s="391"/>
      <c r="B286" s="471"/>
      <c r="C286" s="128" t="s">
        <v>2</v>
      </c>
      <c r="D286" s="80"/>
      <c r="E286" s="80"/>
      <c r="F286" s="80"/>
      <c r="G286" s="69">
        <v>437877.81</v>
      </c>
      <c r="H286" s="80"/>
      <c r="I286" s="80"/>
      <c r="J286" s="80"/>
      <c r="K286" s="80"/>
      <c r="L286" s="80"/>
      <c r="M286" s="80"/>
      <c r="N286" s="139">
        <f t="shared" si="71"/>
        <v>437877.81</v>
      </c>
    </row>
    <row r="287" spans="1:14" s="3" customFormat="1" ht="12.75">
      <c r="A287" s="391"/>
      <c r="B287" s="471"/>
      <c r="C287" s="128" t="s">
        <v>4</v>
      </c>
      <c r="D287" s="69"/>
      <c r="E287" s="69"/>
      <c r="F287" s="69"/>
      <c r="G287" s="69">
        <f>+G285</f>
        <v>424148.65</v>
      </c>
      <c r="H287" s="69"/>
      <c r="I287" s="69"/>
      <c r="J287" s="69"/>
      <c r="K287" s="69"/>
      <c r="L287" s="69"/>
      <c r="M287" s="69"/>
      <c r="N287" s="139">
        <f t="shared" si="71"/>
        <v>424148.65</v>
      </c>
    </row>
    <row r="288" spans="1:14" s="3" customFormat="1" ht="12.75">
      <c r="A288" s="391"/>
      <c r="B288" s="471"/>
      <c r="C288" s="128" t="s">
        <v>3</v>
      </c>
      <c r="D288" s="133"/>
      <c r="E288" s="133"/>
      <c r="F288" s="133"/>
      <c r="G288" s="133">
        <f>+G286</f>
        <v>437877.81</v>
      </c>
      <c r="H288" s="133"/>
      <c r="I288" s="133"/>
      <c r="J288" s="133"/>
      <c r="K288" s="133"/>
      <c r="L288" s="133"/>
      <c r="M288" s="133"/>
      <c r="N288" s="139">
        <f t="shared" si="71"/>
        <v>437877.81</v>
      </c>
    </row>
    <row r="289" spans="1:14" s="3" customFormat="1" ht="13.5" thickBot="1">
      <c r="A289" s="391"/>
      <c r="B289" s="472"/>
      <c r="C289" s="140" t="s">
        <v>199</v>
      </c>
      <c r="D289" s="70"/>
      <c r="E289" s="70"/>
      <c r="F289" s="70"/>
      <c r="G289" s="70">
        <f>G284+G285-G286</f>
        <v>32757.380000000005</v>
      </c>
      <c r="H289" s="70"/>
      <c r="I289" s="70"/>
      <c r="J289" s="70"/>
      <c r="K289" s="70"/>
      <c r="L289" s="70"/>
      <c r="M289" s="70"/>
      <c r="N289" s="141">
        <f t="shared" si="71"/>
        <v>32757.380000000005</v>
      </c>
    </row>
    <row r="290" spans="1:14" s="3" customFormat="1" ht="12.75">
      <c r="A290" s="391" t="s">
        <v>25</v>
      </c>
      <c r="B290" s="470" t="s">
        <v>30</v>
      </c>
      <c r="C290" s="136" t="s">
        <v>175</v>
      </c>
      <c r="D290" s="167"/>
      <c r="E290" s="167"/>
      <c r="F290" s="167"/>
      <c r="G290" s="137">
        <v>278.34</v>
      </c>
      <c r="H290" s="167"/>
      <c r="I290" s="167"/>
      <c r="J290" s="167"/>
      <c r="K290" s="167"/>
      <c r="L290" s="167"/>
      <c r="M290" s="167"/>
      <c r="N290" s="138">
        <f t="shared" si="71"/>
        <v>278.34</v>
      </c>
    </row>
    <row r="291" spans="1:14" s="3" customFormat="1" ht="12.75">
      <c r="A291" s="391"/>
      <c r="B291" s="471"/>
      <c r="C291" s="128" t="s">
        <v>1</v>
      </c>
      <c r="D291" s="80"/>
      <c r="E291" s="80"/>
      <c r="F291" s="80"/>
      <c r="G291" s="69">
        <v>2491.39</v>
      </c>
      <c r="H291" s="80"/>
      <c r="I291" s="80"/>
      <c r="J291" s="80"/>
      <c r="K291" s="80"/>
      <c r="L291" s="80"/>
      <c r="M291" s="80"/>
      <c r="N291" s="139">
        <f t="shared" si="71"/>
        <v>2491.39</v>
      </c>
    </row>
    <row r="292" spans="1:14" s="3" customFormat="1" ht="12.75">
      <c r="A292" s="391"/>
      <c r="B292" s="471"/>
      <c r="C292" s="128" t="s">
        <v>2</v>
      </c>
      <c r="D292" s="80"/>
      <c r="E292" s="80"/>
      <c r="F292" s="80"/>
      <c r="G292" s="69">
        <v>2570.53</v>
      </c>
      <c r="H292" s="80"/>
      <c r="I292" s="80"/>
      <c r="J292" s="80"/>
      <c r="K292" s="80"/>
      <c r="L292" s="80"/>
      <c r="M292" s="80"/>
      <c r="N292" s="139">
        <f t="shared" si="71"/>
        <v>2570.53</v>
      </c>
    </row>
    <row r="293" spans="1:14" s="3" customFormat="1" ht="12.75">
      <c r="A293" s="391"/>
      <c r="B293" s="471"/>
      <c r="C293" s="128" t="s">
        <v>4</v>
      </c>
      <c r="D293" s="69"/>
      <c r="E293" s="69"/>
      <c r="F293" s="69"/>
      <c r="G293" s="69">
        <f>+G291</f>
        <v>2491.39</v>
      </c>
      <c r="H293" s="69"/>
      <c r="I293" s="69"/>
      <c r="J293" s="69"/>
      <c r="K293" s="69"/>
      <c r="L293" s="69"/>
      <c r="M293" s="69"/>
      <c r="N293" s="139">
        <f t="shared" si="71"/>
        <v>2491.39</v>
      </c>
    </row>
    <row r="294" spans="1:14" s="3" customFormat="1" ht="12.75">
      <c r="A294" s="391"/>
      <c r="B294" s="471"/>
      <c r="C294" s="128" t="s">
        <v>3</v>
      </c>
      <c r="D294" s="133"/>
      <c r="E294" s="133"/>
      <c r="F294" s="133"/>
      <c r="G294" s="133">
        <f>+G292</f>
        <v>2570.53</v>
      </c>
      <c r="H294" s="133"/>
      <c r="I294" s="133"/>
      <c r="J294" s="133"/>
      <c r="K294" s="133"/>
      <c r="L294" s="133"/>
      <c r="M294" s="133"/>
      <c r="N294" s="139">
        <f t="shared" si="71"/>
        <v>2570.53</v>
      </c>
    </row>
    <row r="295" spans="1:14" s="3" customFormat="1" ht="13.5" thickBot="1">
      <c r="A295" s="391"/>
      <c r="B295" s="472"/>
      <c r="C295" s="140" t="s">
        <v>199</v>
      </c>
      <c r="D295" s="70"/>
      <c r="E295" s="70"/>
      <c r="F295" s="70"/>
      <c r="G295" s="70">
        <f>G290+G291-G292</f>
        <v>199.19999999999982</v>
      </c>
      <c r="H295" s="70"/>
      <c r="I295" s="70"/>
      <c r="J295" s="70"/>
      <c r="K295" s="70"/>
      <c r="L295" s="70"/>
      <c r="M295" s="70"/>
      <c r="N295" s="141">
        <f t="shared" si="71"/>
        <v>199.19999999999982</v>
      </c>
    </row>
    <row r="296" spans="1:14" s="3" customFormat="1" ht="13.5" customHeight="1">
      <c r="A296" s="391" t="s">
        <v>31</v>
      </c>
      <c r="B296" s="470" t="s">
        <v>30</v>
      </c>
      <c r="C296" s="136" t="s">
        <v>175</v>
      </c>
      <c r="D296" s="167"/>
      <c r="E296" s="167"/>
      <c r="F296" s="167"/>
      <c r="G296" s="137">
        <v>11391.49</v>
      </c>
      <c r="H296" s="167"/>
      <c r="I296" s="167"/>
      <c r="J296" s="167"/>
      <c r="K296" s="167"/>
      <c r="L296" s="167"/>
      <c r="M296" s="167"/>
      <c r="N296" s="138">
        <f aca="true" t="shared" si="90" ref="N296:N301">M296+L296+K296+J296+I296+H296+G296+F296+E296+D296</f>
        <v>11391.49</v>
      </c>
    </row>
    <row r="297" spans="1:14" s="3" customFormat="1" ht="12.75">
      <c r="A297" s="391"/>
      <c r="B297" s="471"/>
      <c r="C297" s="128" t="s">
        <v>1</v>
      </c>
      <c r="D297" s="80"/>
      <c r="E297" s="80"/>
      <c r="F297" s="80"/>
      <c r="G297" s="69">
        <v>106727.03</v>
      </c>
      <c r="H297" s="80"/>
      <c r="I297" s="80"/>
      <c r="J297" s="80"/>
      <c r="K297" s="80"/>
      <c r="L297" s="80"/>
      <c r="M297" s="80"/>
      <c r="N297" s="139">
        <f t="shared" si="90"/>
        <v>106727.03</v>
      </c>
    </row>
    <row r="298" spans="1:14" s="3" customFormat="1" ht="12.75">
      <c r="A298" s="391"/>
      <c r="B298" s="471"/>
      <c r="C298" s="128" t="s">
        <v>2</v>
      </c>
      <c r="D298" s="80"/>
      <c r="E298" s="80"/>
      <c r="F298" s="80"/>
      <c r="G298" s="69">
        <v>109672.12</v>
      </c>
      <c r="H298" s="80"/>
      <c r="I298" s="80"/>
      <c r="J298" s="80"/>
      <c r="K298" s="80"/>
      <c r="L298" s="80"/>
      <c r="M298" s="80"/>
      <c r="N298" s="139">
        <f t="shared" si="90"/>
        <v>109672.12</v>
      </c>
    </row>
    <row r="299" spans="1:14" s="3" customFormat="1" ht="12.75">
      <c r="A299" s="391"/>
      <c r="B299" s="471"/>
      <c r="C299" s="128" t="s">
        <v>4</v>
      </c>
      <c r="D299" s="69"/>
      <c r="E299" s="69"/>
      <c r="F299" s="69"/>
      <c r="G299" s="69">
        <f>+G297</f>
        <v>106727.03</v>
      </c>
      <c r="H299" s="69"/>
      <c r="I299" s="69"/>
      <c r="J299" s="69"/>
      <c r="K299" s="69"/>
      <c r="L299" s="69"/>
      <c r="M299" s="69"/>
      <c r="N299" s="139">
        <f t="shared" si="90"/>
        <v>106727.03</v>
      </c>
    </row>
    <row r="300" spans="1:14" s="3" customFormat="1" ht="12.75">
      <c r="A300" s="391"/>
      <c r="B300" s="471"/>
      <c r="C300" s="128" t="s">
        <v>3</v>
      </c>
      <c r="D300" s="133"/>
      <c r="E300" s="133"/>
      <c r="F300" s="133"/>
      <c r="G300" s="133">
        <f>+G298</f>
        <v>109672.12</v>
      </c>
      <c r="H300" s="133"/>
      <c r="I300" s="133"/>
      <c r="J300" s="133"/>
      <c r="K300" s="133"/>
      <c r="L300" s="133"/>
      <c r="M300" s="133"/>
      <c r="N300" s="139">
        <f t="shared" si="90"/>
        <v>109672.12</v>
      </c>
    </row>
    <row r="301" spans="1:14" s="3" customFormat="1" ht="13.5" thickBot="1">
      <c r="A301" s="391"/>
      <c r="B301" s="472"/>
      <c r="C301" s="140" t="s">
        <v>199</v>
      </c>
      <c r="D301" s="70"/>
      <c r="E301" s="70"/>
      <c r="F301" s="70"/>
      <c r="G301" s="70">
        <f>G296+G297-G298</f>
        <v>8446.400000000009</v>
      </c>
      <c r="H301" s="70"/>
      <c r="I301" s="70"/>
      <c r="J301" s="70"/>
      <c r="K301" s="70"/>
      <c r="L301" s="70"/>
      <c r="M301" s="70"/>
      <c r="N301" s="141">
        <f t="shared" si="90"/>
        <v>8446.400000000009</v>
      </c>
    </row>
    <row r="302" spans="1:14" s="3" customFormat="1" ht="12.75">
      <c r="A302" s="391" t="s">
        <v>105</v>
      </c>
      <c r="B302" s="470" t="s">
        <v>106</v>
      </c>
      <c r="C302" s="136" t="s">
        <v>175</v>
      </c>
      <c r="D302" s="166"/>
      <c r="E302" s="166"/>
      <c r="F302" s="166"/>
      <c r="G302" s="166"/>
      <c r="H302" s="166"/>
      <c r="I302" s="137">
        <v>-2504.33</v>
      </c>
      <c r="J302" s="168"/>
      <c r="K302" s="137"/>
      <c r="L302" s="166"/>
      <c r="M302" s="166"/>
      <c r="N302" s="138">
        <f t="shared" si="71"/>
        <v>-2504.33</v>
      </c>
    </row>
    <row r="303" spans="1:14" s="3" customFormat="1" ht="12.75">
      <c r="A303" s="391"/>
      <c r="B303" s="471"/>
      <c r="C303" s="128" t="s">
        <v>1</v>
      </c>
      <c r="D303" s="133"/>
      <c r="E303" s="133"/>
      <c r="F303" s="133"/>
      <c r="G303" s="133"/>
      <c r="H303" s="133"/>
      <c r="I303" s="69">
        <v>0</v>
      </c>
      <c r="J303" s="155"/>
      <c r="K303" s="69"/>
      <c r="L303" s="133"/>
      <c r="M303" s="133"/>
      <c r="N303" s="139">
        <f t="shared" si="71"/>
        <v>0</v>
      </c>
    </row>
    <row r="304" spans="1:14" s="3" customFormat="1" ht="12.75">
      <c r="A304" s="391"/>
      <c r="B304" s="471"/>
      <c r="C304" s="128" t="s">
        <v>2</v>
      </c>
      <c r="D304" s="133"/>
      <c r="E304" s="133"/>
      <c r="F304" s="133"/>
      <c r="G304" s="133"/>
      <c r="H304" s="133"/>
      <c r="I304" s="69">
        <v>0</v>
      </c>
      <c r="J304" s="155"/>
      <c r="K304" s="69"/>
      <c r="L304" s="133"/>
      <c r="M304" s="133"/>
      <c r="N304" s="139">
        <f t="shared" si="71"/>
        <v>0</v>
      </c>
    </row>
    <row r="305" spans="1:14" s="3" customFormat="1" ht="12.75">
      <c r="A305" s="391"/>
      <c r="B305" s="471"/>
      <c r="C305" s="128" t="s">
        <v>4</v>
      </c>
      <c r="D305" s="69"/>
      <c r="E305" s="69"/>
      <c r="F305" s="69"/>
      <c r="G305" s="69"/>
      <c r="H305" s="69"/>
      <c r="I305" s="69">
        <f>+I303</f>
        <v>0</v>
      </c>
      <c r="J305" s="69"/>
      <c r="K305" s="69"/>
      <c r="L305" s="69"/>
      <c r="M305" s="69"/>
      <c r="N305" s="139">
        <f t="shared" si="71"/>
        <v>0</v>
      </c>
    </row>
    <row r="306" spans="1:14" s="3" customFormat="1" ht="12.75">
      <c r="A306" s="391"/>
      <c r="B306" s="471"/>
      <c r="C306" s="128" t="s">
        <v>3</v>
      </c>
      <c r="D306" s="133"/>
      <c r="E306" s="133"/>
      <c r="F306" s="133"/>
      <c r="G306" s="133"/>
      <c r="H306" s="133"/>
      <c r="I306" s="133">
        <f>+I304</f>
        <v>0</v>
      </c>
      <c r="J306" s="133"/>
      <c r="K306" s="133"/>
      <c r="L306" s="133"/>
      <c r="M306" s="133"/>
      <c r="N306" s="139">
        <f aca="true" t="shared" si="91" ref="N306:N325">M306+L306+K306+J306+I306+H306+G306+F306+E306+D306</f>
        <v>0</v>
      </c>
    </row>
    <row r="307" spans="1:14" s="3" customFormat="1" ht="13.5" thickBot="1">
      <c r="A307" s="391"/>
      <c r="B307" s="472"/>
      <c r="C307" s="140" t="s">
        <v>199</v>
      </c>
      <c r="D307" s="70"/>
      <c r="E307" s="70"/>
      <c r="F307" s="70"/>
      <c r="G307" s="70">
        <f>G302+G303-G304</f>
        <v>0</v>
      </c>
      <c r="H307" s="70">
        <f>H302+H303-H304</f>
        <v>0</v>
      </c>
      <c r="I307" s="70">
        <f>I302+I303-I304</f>
        <v>-2504.33</v>
      </c>
      <c r="J307" s="70">
        <f>J302+J303-J304</f>
        <v>0</v>
      </c>
      <c r="K307" s="70">
        <f>K302+K303-K304</f>
        <v>0</v>
      </c>
      <c r="L307" s="70"/>
      <c r="M307" s="70"/>
      <c r="N307" s="141">
        <f t="shared" si="91"/>
        <v>-2504.33</v>
      </c>
    </row>
    <row r="308" spans="1:14" s="3" customFormat="1" ht="12.75">
      <c r="A308" s="391" t="s">
        <v>39</v>
      </c>
      <c r="B308" s="470" t="s">
        <v>27</v>
      </c>
      <c r="C308" s="136" t="s">
        <v>175</v>
      </c>
      <c r="D308" s="167"/>
      <c r="E308" s="167"/>
      <c r="F308" s="167"/>
      <c r="G308" s="167"/>
      <c r="H308" s="137">
        <v>457.69</v>
      </c>
      <c r="I308" s="167"/>
      <c r="J308" s="167"/>
      <c r="K308" s="167"/>
      <c r="L308" s="167"/>
      <c r="M308" s="167"/>
      <c r="N308" s="138">
        <f t="shared" si="91"/>
        <v>457.69</v>
      </c>
    </row>
    <row r="309" spans="1:14" s="3" customFormat="1" ht="12.75">
      <c r="A309" s="391"/>
      <c r="B309" s="471"/>
      <c r="C309" s="128" t="s">
        <v>1</v>
      </c>
      <c r="D309" s="80"/>
      <c r="E309" s="80"/>
      <c r="F309" s="80"/>
      <c r="G309" s="80"/>
      <c r="H309" s="69">
        <v>14640</v>
      </c>
      <c r="I309" s="80"/>
      <c r="J309" s="80"/>
      <c r="K309" s="80"/>
      <c r="L309" s="80"/>
      <c r="M309" s="80"/>
      <c r="N309" s="139">
        <f t="shared" si="91"/>
        <v>14640</v>
      </c>
    </row>
    <row r="310" spans="1:14" s="3" customFormat="1" ht="12.75">
      <c r="A310" s="391"/>
      <c r="B310" s="471"/>
      <c r="C310" s="128" t="s">
        <v>2</v>
      </c>
      <c r="D310" s="80"/>
      <c r="E310" s="80"/>
      <c r="F310" s="80"/>
      <c r="G310" s="80"/>
      <c r="H310" s="69">
        <v>14732.55</v>
      </c>
      <c r="I310" s="80"/>
      <c r="J310" s="80"/>
      <c r="K310" s="80"/>
      <c r="L310" s="80"/>
      <c r="M310" s="80"/>
      <c r="N310" s="139">
        <f t="shared" si="91"/>
        <v>14732.55</v>
      </c>
    </row>
    <row r="311" spans="1:14" s="3" customFormat="1" ht="12.75">
      <c r="A311" s="391"/>
      <c r="B311" s="471"/>
      <c r="C311" s="128" t="s">
        <v>4</v>
      </c>
      <c r="D311" s="69"/>
      <c r="E311" s="69"/>
      <c r="F311" s="69"/>
      <c r="G311" s="69"/>
      <c r="H311" s="69">
        <f>+H309</f>
        <v>14640</v>
      </c>
      <c r="I311" s="69"/>
      <c r="J311" s="69"/>
      <c r="K311" s="69"/>
      <c r="L311" s="69"/>
      <c r="M311" s="69"/>
      <c r="N311" s="139">
        <f t="shared" si="91"/>
        <v>14640</v>
      </c>
    </row>
    <row r="312" spans="1:14" s="3" customFormat="1" ht="12.75">
      <c r="A312" s="391"/>
      <c r="B312" s="471"/>
      <c r="C312" s="128" t="s">
        <v>3</v>
      </c>
      <c r="D312" s="133"/>
      <c r="E312" s="133"/>
      <c r="F312" s="133"/>
      <c r="G312" s="133"/>
      <c r="H312" s="133">
        <f>+H310</f>
        <v>14732.55</v>
      </c>
      <c r="I312" s="133"/>
      <c r="J312" s="133"/>
      <c r="K312" s="133"/>
      <c r="L312" s="133"/>
      <c r="M312" s="133"/>
      <c r="N312" s="139">
        <f t="shared" si="91"/>
        <v>14732.55</v>
      </c>
    </row>
    <row r="313" spans="1:14" s="3" customFormat="1" ht="13.5" thickBot="1">
      <c r="A313" s="391"/>
      <c r="B313" s="472"/>
      <c r="C313" s="140" t="s">
        <v>199</v>
      </c>
      <c r="D313" s="70"/>
      <c r="E313" s="70"/>
      <c r="F313" s="70"/>
      <c r="G313" s="70"/>
      <c r="H313" s="70">
        <f>H308+H309-H310</f>
        <v>365.14000000000124</v>
      </c>
      <c r="I313" s="70"/>
      <c r="J313" s="70"/>
      <c r="K313" s="70"/>
      <c r="L313" s="70"/>
      <c r="M313" s="70"/>
      <c r="N313" s="141">
        <f t="shared" si="91"/>
        <v>365.14000000000124</v>
      </c>
    </row>
    <row r="314" spans="1:14" s="3" customFormat="1" ht="12.75" customHeight="1" hidden="1">
      <c r="A314" s="379" t="s">
        <v>37</v>
      </c>
      <c r="B314" s="456" t="s">
        <v>27</v>
      </c>
      <c r="C314" s="135" t="s">
        <v>156</v>
      </c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>
        <f t="shared" si="91"/>
        <v>0</v>
      </c>
    </row>
    <row r="315" spans="1:14" s="3" customFormat="1" ht="12.75" customHeight="1" hidden="1">
      <c r="A315" s="379"/>
      <c r="B315" s="467"/>
      <c r="C315" s="128" t="s">
        <v>1</v>
      </c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>
        <f t="shared" si="91"/>
        <v>0</v>
      </c>
    </row>
    <row r="316" spans="1:14" s="3" customFormat="1" ht="12.75" customHeight="1" hidden="1">
      <c r="A316" s="379"/>
      <c r="B316" s="467"/>
      <c r="C316" s="128" t="s">
        <v>2</v>
      </c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>
        <f t="shared" si="91"/>
        <v>0</v>
      </c>
    </row>
    <row r="317" spans="1:14" s="3" customFormat="1" ht="12.75" customHeight="1" hidden="1">
      <c r="A317" s="379"/>
      <c r="B317" s="467"/>
      <c r="C317" s="128" t="s">
        <v>4</v>
      </c>
      <c r="D317" s="130">
        <f>D315</f>
        <v>0</v>
      </c>
      <c r="E317" s="130">
        <f aca="true" t="shared" si="92" ref="E317:M317">E315</f>
        <v>0</v>
      </c>
      <c r="F317" s="130">
        <f t="shared" si="92"/>
        <v>0</v>
      </c>
      <c r="G317" s="130">
        <f>G315</f>
        <v>0</v>
      </c>
      <c r="H317" s="130">
        <f t="shared" si="92"/>
        <v>0</v>
      </c>
      <c r="I317" s="130">
        <f t="shared" si="92"/>
        <v>0</v>
      </c>
      <c r="J317" s="130">
        <f t="shared" si="92"/>
        <v>0</v>
      </c>
      <c r="K317" s="130">
        <f t="shared" si="92"/>
        <v>0</v>
      </c>
      <c r="L317" s="130">
        <f t="shared" si="92"/>
        <v>0</v>
      </c>
      <c r="M317" s="130">
        <f t="shared" si="92"/>
        <v>0</v>
      </c>
      <c r="N317" s="80">
        <f t="shared" si="91"/>
        <v>0</v>
      </c>
    </row>
    <row r="318" spans="1:14" s="3" customFormat="1" ht="12.75" customHeight="1" hidden="1">
      <c r="A318" s="379"/>
      <c r="B318" s="467"/>
      <c r="C318" s="128" t="s">
        <v>3</v>
      </c>
      <c r="D318" s="130">
        <f>D315</f>
        <v>0</v>
      </c>
      <c r="E318" s="130">
        <f aca="true" t="shared" si="93" ref="E318:M318">E315</f>
        <v>0</v>
      </c>
      <c r="F318" s="130">
        <f t="shared" si="93"/>
        <v>0</v>
      </c>
      <c r="G318" s="130">
        <f>G315</f>
        <v>0</v>
      </c>
      <c r="H318" s="130">
        <f t="shared" si="93"/>
        <v>0</v>
      </c>
      <c r="I318" s="130">
        <f t="shared" si="93"/>
        <v>0</v>
      </c>
      <c r="J318" s="130">
        <f t="shared" si="93"/>
        <v>0</v>
      </c>
      <c r="K318" s="130">
        <f t="shared" si="93"/>
        <v>0</v>
      </c>
      <c r="L318" s="130">
        <f t="shared" si="93"/>
        <v>0</v>
      </c>
      <c r="M318" s="130">
        <f t="shared" si="93"/>
        <v>0</v>
      </c>
      <c r="N318" s="80">
        <f t="shared" si="91"/>
        <v>0</v>
      </c>
    </row>
    <row r="319" spans="1:14" s="3" customFormat="1" ht="12.75" customHeight="1" hidden="1">
      <c r="A319" s="379"/>
      <c r="B319" s="454"/>
      <c r="C319" s="16" t="s">
        <v>160</v>
      </c>
      <c r="D319" s="134">
        <f>D314+D315-D316</f>
        <v>0</v>
      </c>
      <c r="E319" s="134">
        <f aca="true" t="shared" si="94" ref="E319:M319">E314+E315-E316</f>
        <v>0</v>
      </c>
      <c r="F319" s="134">
        <f t="shared" si="94"/>
        <v>0</v>
      </c>
      <c r="G319" s="134">
        <f>G314+G315-G316</f>
        <v>0</v>
      </c>
      <c r="H319" s="134">
        <f t="shared" si="94"/>
        <v>0</v>
      </c>
      <c r="I319" s="134">
        <f t="shared" si="94"/>
        <v>0</v>
      </c>
      <c r="J319" s="134">
        <f t="shared" si="94"/>
        <v>0</v>
      </c>
      <c r="K319" s="134">
        <f t="shared" si="94"/>
        <v>0</v>
      </c>
      <c r="L319" s="134">
        <f t="shared" si="94"/>
        <v>0</v>
      </c>
      <c r="M319" s="134">
        <f t="shared" si="94"/>
        <v>0</v>
      </c>
      <c r="N319" s="91">
        <f t="shared" si="91"/>
        <v>0</v>
      </c>
    </row>
    <row r="320" spans="1:14" s="24" customFormat="1" ht="12.75">
      <c r="A320" s="391" t="s">
        <v>49</v>
      </c>
      <c r="B320" s="470" t="s">
        <v>27</v>
      </c>
      <c r="C320" s="136" t="s">
        <v>175</v>
      </c>
      <c r="D320" s="137">
        <v>2048.35</v>
      </c>
      <c r="E320" s="137">
        <v>-52</v>
      </c>
      <c r="F320" s="137">
        <v>-52</v>
      </c>
      <c r="G320" s="137">
        <v>13729.13</v>
      </c>
      <c r="H320" s="137">
        <v>10325.95</v>
      </c>
      <c r="I320" s="137">
        <v>14904.73</v>
      </c>
      <c r="J320" s="168">
        <v>8196.91</v>
      </c>
      <c r="K320" s="137">
        <v>7416.21</v>
      </c>
      <c r="L320" s="137">
        <v>-1767.98</v>
      </c>
      <c r="M320" s="137">
        <v>1922.07</v>
      </c>
      <c r="N320" s="138">
        <f t="shared" si="91"/>
        <v>56671.369999999995</v>
      </c>
    </row>
    <row r="321" spans="1:14" s="24" customFormat="1" ht="12.75">
      <c r="A321" s="391"/>
      <c r="B321" s="471"/>
      <c r="C321" s="128" t="s">
        <v>1</v>
      </c>
      <c r="D321" s="69">
        <v>19440</v>
      </c>
      <c r="E321" s="69"/>
      <c r="F321" s="69"/>
      <c r="G321" s="69">
        <v>102240</v>
      </c>
      <c r="H321" s="69">
        <v>72000</v>
      </c>
      <c r="I321" s="69">
        <v>86400</v>
      </c>
      <c r="J321" s="155">
        <v>71280</v>
      </c>
      <c r="K321" s="69">
        <v>84960</v>
      </c>
      <c r="L321" s="69"/>
      <c r="M321" s="69">
        <v>20160</v>
      </c>
      <c r="N321" s="139">
        <f t="shared" si="91"/>
        <v>456480</v>
      </c>
    </row>
    <row r="322" spans="1:14" s="24" customFormat="1" ht="12.75">
      <c r="A322" s="391"/>
      <c r="B322" s="471"/>
      <c r="C322" s="128" t="s">
        <v>2</v>
      </c>
      <c r="D322" s="69">
        <v>20204.14</v>
      </c>
      <c r="E322" s="69"/>
      <c r="F322" s="69"/>
      <c r="G322" s="69">
        <v>104637.14</v>
      </c>
      <c r="H322" s="69">
        <v>73281.36</v>
      </c>
      <c r="I322" s="69">
        <v>89304.07</v>
      </c>
      <c r="J322" s="155">
        <v>70403.73</v>
      </c>
      <c r="K322" s="69">
        <v>86126.12</v>
      </c>
      <c r="L322" s="69"/>
      <c r="M322" s="69">
        <v>20169.36</v>
      </c>
      <c r="N322" s="139">
        <f t="shared" si="91"/>
        <v>464125.92000000004</v>
      </c>
    </row>
    <row r="323" spans="1:14" s="24" customFormat="1" ht="12.75">
      <c r="A323" s="391"/>
      <c r="B323" s="471"/>
      <c r="C323" s="128" t="s">
        <v>4</v>
      </c>
      <c r="D323" s="69">
        <f>D321</f>
        <v>19440</v>
      </c>
      <c r="E323" s="69"/>
      <c r="F323" s="69"/>
      <c r="G323" s="69">
        <f aca="true" t="shared" si="95" ref="G323:M323">G321</f>
        <v>102240</v>
      </c>
      <c r="H323" s="69">
        <f t="shared" si="95"/>
        <v>72000</v>
      </c>
      <c r="I323" s="69">
        <f t="shared" si="95"/>
        <v>86400</v>
      </c>
      <c r="J323" s="69">
        <f t="shared" si="95"/>
        <v>71280</v>
      </c>
      <c r="K323" s="69">
        <f t="shared" si="95"/>
        <v>84960</v>
      </c>
      <c r="L323" s="69"/>
      <c r="M323" s="69">
        <f t="shared" si="95"/>
        <v>20160</v>
      </c>
      <c r="N323" s="139">
        <f t="shared" si="91"/>
        <v>456480</v>
      </c>
    </row>
    <row r="324" spans="1:14" s="24" customFormat="1" ht="12.75">
      <c r="A324" s="391"/>
      <c r="B324" s="471"/>
      <c r="C324" s="128" t="s">
        <v>3</v>
      </c>
      <c r="D324" s="133">
        <f>+D322</f>
        <v>20204.14</v>
      </c>
      <c r="E324" s="133"/>
      <c r="F324" s="133"/>
      <c r="G324" s="133">
        <f aca="true" t="shared" si="96" ref="G324:M324">+G322</f>
        <v>104637.14</v>
      </c>
      <c r="H324" s="133">
        <f t="shared" si="96"/>
        <v>73281.36</v>
      </c>
      <c r="I324" s="133">
        <f t="shared" si="96"/>
        <v>89304.07</v>
      </c>
      <c r="J324" s="133">
        <f t="shared" si="96"/>
        <v>70403.73</v>
      </c>
      <c r="K324" s="133">
        <f t="shared" si="96"/>
        <v>86126.12</v>
      </c>
      <c r="L324" s="133"/>
      <c r="M324" s="133">
        <f t="shared" si="96"/>
        <v>20169.36</v>
      </c>
      <c r="N324" s="139">
        <f t="shared" si="91"/>
        <v>464125.92000000004</v>
      </c>
    </row>
    <row r="325" spans="1:14" s="3" customFormat="1" ht="13.5" thickBot="1">
      <c r="A325" s="392"/>
      <c r="B325" s="473"/>
      <c r="C325" s="16" t="s">
        <v>199</v>
      </c>
      <c r="D325" s="134">
        <f>D320+D321-D322</f>
        <v>1284.2099999999991</v>
      </c>
      <c r="E325" s="134">
        <f aca="true" t="shared" si="97" ref="E325:M325">E320+E321-E322</f>
        <v>-52</v>
      </c>
      <c r="F325" s="134">
        <f t="shared" si="97"/>
        <v>-52</v>
      </c>
      <c r="G325" s="134">
        <f>G320+G321-G322</f>
        <v>11331.990000000005</v>
      </c>
      <c r="H325" s="134">
        <f t="shared" si="97"/>
        <v>9044.589999999997</v>
      </c>
      <c r="I325" s="134">
        <f t="shared" si="97"/>
        <v>12000.659999999989</v>
      </c>
      <c r="J325" s="134">
        <f t="shared" si="97"/>
        <v>9073.180000000008</v>
      </c>
      <c r="K325" s="134">
        <f t="shared" si="97"/>
        <v>6250.090000000011</v>
      </c>
      <c r="L325" s="134">
        <f t="shared" si="97"/>
        <v>-1767.98</v>
      </c>
      <c r="M325" s="134">
        <f t="shared" si="97"/>
        <v>1912.7099999999991</v>
      </c>
      <c r="N325" s="146">
        <f t="shared" si="91"/>
        <v>49025.450000000004</v>
      </c>
    </row>
    <row r="326" spans="1:14" s="24" customFormat="1" ht="12.75">
      <c r="A326" s="393" t="s">
        <v>190</v>
      </c>
      <c r="B326" s="393"/>
      <c r="C326" s="376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97"/>
    </row>
    <row r="327" spans="1:14" s="24" customFormat="1" ht="12.75">
      <c r="A327" s="377"/>
      <c r="B327" s="377"/>
      <c r="C327" s="131" t="s">
        <v>175</v>
      </c>
      <c r="D327" s="116">
        <f aca="true" t="shared" si="98" ref="D327:F332">D320+D308+D302+D290+D284+D236+D296</f>
        <v>1996.87</v>
      </c>
      <c r="E327" s="116">
        <f t="shared" si="98"/>
        <v>3022.54</v>
      </c>
      <c r="F327" s="116">
        <f t="shared" si="98"/>
        <v>-61.03</v>
      </c>
      <c r="G327" s="116">
        <f>G320+G308+G302+G290+G284+G236+G296</f>
        <v>74058.45</v>
      </c>
      <c r="H327" s="116">
        <f aca="true" t="shared" si="99" ref="H327:N327">H320+H308+H302+H290+H284+H236+H296</f>
        <v>6043.390000000001</v>
      </c>
      <c r="I327" s="116">
        <f t="shared" si="99"/>
        <v>17310.54</v>
      </c>
      <c r="J327" s="116">
        <f t="shared" si="99"/>
        <v>12824.09</v>
      </c>
      <c r="K327" s="116">
        <f t="shared" si="99"/>
        <v>9785.93</v>
      </c>
      <c r="L327" s="116">
        <f t="shared" si="99"/>
        <v>6337.18</v>
      </c>
      <c r="M327" s="116">
        <f t="shared" si="99"/>
        <v>2634.19</v>
      </c>
      <c r="N327" s="125">
        <f t="shared" si="99"/>
        <v>133952.15</v>
      </c>
    </row>
    <row r="328" spans="1:14" s="24" customFormat="1" ht="12.75">
      <c r="A328" s="377"/>
      <c r="B328" s="377"/>
      <c r="C328" s="132" t="s">
        <v>1</v>
      </c>
      <c r="D328" s="116">
        <f t="shared" si="98"/>
        <v>29221.66</v>
      </c>
      <c r="E328" s="116">
        <f t="shared" si="98"/>
        <v>3103.66</v>
      </c>
      <c r="F328" s="116">
        <f t="shared" si="98"/>
        <v>0</v>
      </c>
      <c r="G328" s="116">
        <f aca="true" t="shared" si="100" ref="G328:J332">G321+G309+G303+G291+G285+G237+G297</f>
        <v>665528.1900000001</v>
      </c>
      <c r="H328" s="116">
        <f t="shared" si="100"/>
        <v>124115.35</v>
      </c>
      <c r="I328" s="116">
        <f t="shared" si="100"/>
        <v>121830.5</v>
      </c>
      <c r="J328" s="116">
        <f t="shared" si="100"/>
        <v>104975.64</v>
      </c>
      <c r="K328" s="116">
        <f aca="true" t="shared" si="101" ref="K328:N332">K321+K309+K303+K291+K285+K237+K297</f>
        <v>119511.33</v>
      </c>
      <c r="L328" s="116">
        <f t="shared" si="101"/>
        <v>34598.03</v>
      </c>
      <c r="M328" s="116">
        <f t="shared" si="101"/>
        <v>29466.11</v>
      </c>
      <c r="N328" s="125">
        <f t="shared" si="101"/>
        <v>1232350.47</v>
      </c>
    </row>
    <row r="329" spans="1:15" s="24" customFormat="1" ht="12.75">
      <c r="A329" s="377"/>
      <c r="B329" s="377"/>
      <c r="C329" s="132" t="s">
        <v>2</v>
      </c>
      <c r="D329" s="116">
        <f t="shared" si="98"/>
        <v>30308.29</v>
      </c>
      <c r="E329" s="116">
        <f t="shared" si="98"/>
        <v>3278.62</v>
      </c>
      <c r="F329" s="116">
        <f t="shared" si="98"/>
        <v>0</v>
      </c>
      <c r="G329" s="116">
        <f t="shared" si="100"/>
        <v>683321.34</v>
      </c>
      <c r="H329" s="116">
        <f t="shared" si="100"/>
        <v>123553.85</v>
      </c>
      <c r="I329" s="116">
        <f t="shared" si="100"/>
        <v>124013.03</v>
      </c>
      <c r="J329" s="116">
        <f t="shared" si="100"/>
        <v>102809.26</v>
      </c>
      <c r="K329" s="116">
        <f t="shared" si="101"/>
        <v>121202.68</v>
      </c>
      <c r="L329" s="116">
        <f t="shared" si="101"/>
        <v>33037.29</v>
      </c>
      <c r="M329" s="116">
        <f t="shared" si="101"/>
        <v>29377.39</v>
      </c>
      <c r="N329" s="125">
        <f t="shared" si="101"/>
        <v>1250901.75</v>
      </c>
      <c r="O329" s="28"/>
    </row>
    <row r="330" spans="1:14" s="24" customFormat="1" ht="12.75">
      <c r="A330" s="377"/>
      <c r="B330" s="377"/>
      <c r="C330" s="132" t="s">
        <v>4</v>
      </c>
      <c r="D330" s="116">
        <f t="shared" si="98"/>
        <v>29221.66</v>
      </c>
      <c r="E330" s="116">
        <f t="shared" si="98"/>
        <v>3103.66</v>
      </c>
      <c r="F330" s="116">
        <f t="shared" si="98"/>
        <v>0</v>
      </c>
      <c r="G330" s="116">
        <f t="shared" si="100"/>
        <v>665528.1900000001</v>
      </c>
      <c r="H330" s="116">
        <f t="shared" si="100"/>
        <v>124115.35</v>
      </c>
      <c r="I330" s="116">
        <f t="shared" si="100"/>
        <v>121830.5</v>
      </c>
      <c r="J330" s="116">
        <f t="shared" si="100"/>
        <v>104975.64</v>
      </c>
      <c r="K330" s="116">
        <f t="shared" si="101"/>
        <v>119511.33</v>
      </c>
      <c r="L330" s="116">
        <f t="shared" si="101"/>
        <v>34598.03</v>
      </c>
      <c r="M330" s="116">
        <f t="shared" si="101"/>
        <v>29466.11</v>
      </c>
      <c r="N330" s="125">
        <f t="shared" si="101"/>
        <v>1232350.47</v>
      </c>
    </row>
    <row r="331" spans="1:14" s="24" customFormat="1" ht="12.75">
      <c r="A331" s="377"/>
      <c r="B331" s="377"/>
      <c r="C331" s="132" t="s">
        <v>3</v>
      </c>
      <c r="D331" s="116">
        <f t="shared" si="98"/>
        <v>30308.29</v>
      </c>
      <c r="E331" s="116">
        <f t="shared" si="98"/>
        <v>3278.62</v>
      </c>
      <c r="F331" s="116">
        <f t="shared" si="98"/>
        <v>0</v>
      </c>
      <c r="G331" s="116">
        <f t="shared" si="100"/>
        <v>683321.34</v>
      </c>
      <c r="H331" s="116">
        <f t="shared" si="100"/>
        <v>123553.85</v>
      </c>
      <c r="I331" s="116">
        <f t="shared" si="100"/>
        <v>124013.03</v>
      </c>
      <c r="J331" s="116">
        <f t="shared" si="100"/>
        <v>102809.26</v>
      </c>
      <c r="K331" s="116">
        <f t="shared" si="101"/>
        <v>121202.68</v>
      </c>
      <c r="L331" s="116">
        <f t="shared" si="101"/>
        <v>33037.29</v>
      </c>
      <c r="M331" s="116">
        <f t="shared" si="101"/>
        <v>29377.39</v>
      </c>
      <c r="N331" s="125">
        <f t="shared" si="101"/>
        <v>1250901.75</v>
      </c>
    </row>
    <row r="332" spans="1:14" s="3" customFormat="1" ht="13.5" thickBot="1">
      <c r="A332" s="378"/>
      <c r="B332" s="378"/>
      <c r="C332" s="148" t="s">
        <v>199</v>
      </c>
      <c r="D332" s="126">
        <f t="shared" si="98"/>
        <v>910.2399999999998</v>
      </c>
      <c r="E332" s="126">
        <f t="shared" si="98"/>
        <v>2847.58</v>
      </c>
      <c r="F332" s="126">
        <f t="shared" si="98"/>
        <v>-61.03</v>
      </c>
      <c r="G332" s="126">
        <f t="shared" si="100"/>
        <v>56265.30000000002</v>
      </c>
      <c r="H332" s="126">
        <f t="shared" si="100"/>
        <v>6604.889999999994</v>
      </c>
      <c r="I332" s="126">
        <f t="shared" si="100"/>
        <v>15128.00999999999</v>
      </c>
      <c r="J332" s="126">
        <f t="shared" si="100"/>
        <v>14990.470000000008</v>
      </c>
      <c r="K332" s="126">
        <f t="shared" si="101"/>
        <v>8094.580000000016</v>
      </c>
      <c r="L332" s="126">
        <f t="shared" si="101"/>
        <v>7897.920000000002</v>
      </c>
      <c r="M332" s="126">
        <f t="shared" si="101"/>
        <v>2722.91</v>
      </c>
      <c r="N332" s="127">
        <f t="shared" si="101"/>
        <v>115400.87000000001</v>
      </c>
    </row>
    <row r="333" spans="1:14" s="24" customFormat="1" ht="12.75">
      <c r="A333" s="393" t="s">
        <v>192</v>
      </c>
      <c r="B333" s="393"/>
      <c r="C333" s="376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97"/>
    </row>
    <row r="334" spans="1:14" s="24" customFormat="1" ht="12.75">
      <c r="A334" s="377"/>
      <c r="B334" s="377"/>
      <c r="C334" s="131" t="s">
        <v>175</v>
      </c>
      <c r="D334" s="116">
        <f aca="true" t="shared" si="102" ref="D334:N334">D115+D230+D327</f>
        <v>139867.55</v>
      </c>
      <c r="E334" s="116">
        <f t="shared" si="102"/>
        <v>500416.10000000003</v>
      </c>
      <c r="F334" s="116">
        <f t="shared" si="102"/>
        <v>13426.140000000001</v>
      </c>
      <c r="G334" s="116">
        <f t="shared" si="102"/>
        <v>1784458.81</v>
      </c>
      <c r="H334" s="116">
        <f t="shared" si="102"/>
        <v>1155895.0699999998</v>
      </c>
      <c r="I334" s="116">
        <f t="shared" si="102"/>
        <v>1568220.0899999999</v>
      </c>
      <c r="J334" s="116">
        <f t="shared" si="102"/>
        <v>1051539.7600000002</v>
      </c>
      <c r="K334" s="116">
        <f t="shared" si="102"/>
        <v>925542.44</v>
      </c>
      <c r="L334" s="116">
        <f t="shared" si="102"/>
        <v>1940420.8800000001</v>
      </c>
      <c r="M334" s="116">
        <f t="shared" si="102"/>
        <v>227746.62999999998</v>
      </c>
      <c r="N334" s="125">
        <f t="shared" si="102"/>
        <v>9307533.47</v>
      </c>
    </row>
    <row r="335" spans="1:14" s="24" customFormat="1" ht="12.75">
      <c r="A335" s="377"/>
      <c r="B335" s="377"/>
      <c r="C335" s="132" t="s">
        <v>1</v>
      </c>
      <c r="D335" s="116">
        <f aca="true" t="shared" si="103" ref="D335:N335">D116+D231+D328</f>
        <v>2287006.99</v>
      </c>
      <c r="E335" s="116">
        <f t="shared" si="103"/>
        <v>446511.11999999994</v>
      </c>
      <c r="F335" s="116">
        <f t="shared" si="103"/>
        <v>380934.96</v>
      </c>
      <c r="G335" s="116">
        <f t="shared" si="103"/>
        <v>12561873.15</v>
      </c>
      <c r="H335" s="116">
        <f t="shared" si="103"/>
        <v>8788995.43</v>
      </c>
      <c r="I335" s="116">
        <f t="shared" si="103"/>
        <v>9008082.19</v>
      </c>
      <c r="J335" s="116">
        <f t="shared" si="103"/>
        <v>8719112.88</v>
      </c>
      <c r="K335" s="116">
        <f t="shared" si="103"/>
        <v>9062602.660000002</v>
      </c>
      <c r="L335" s="116">
        <f t="shared" si="103"/>
        <v>6937313.4799999995</v>
      </c>
      <c r="M335" s="116">
        <f t="shared" si="103"/>
        <v>2175741.09</v>
      </c>
      <c r="N335" s="125">
        <f t="shared" si="103"/>
        <v>60368173.949999996</v>
      </c>
    </row>
    <row r="336" spans="1:14" s="24" customFormat="1" ht="12.75">
      <c r="A336" s="377"/>
      <c r="B336" s="377"/>
      <c r="C336" s="132" t="s">
        <v>2</v>
      </c>
      <c r="D336" s="116">
        <f aca="true" t="shared" si="104" ref="D336:N336">D117+D232+D329</f>
        <v>2234135.24</v>
      </c>
      <c r="E336" s="116">
        <f t="shared" si="104"/>
        <v>360100.45999999996</v>
      </c>
      <c r="F336" s="116">
        <f t="shared" si="104"/>
        <v>386309.21</v>
      </c>
      <c r="G336" s="116">
        <f t="shared" si="104"/>
        <v>12818608.089999998</v>
      </c>
      <c r="H336" s="116">
        <f t="shared" si="104"/>
        <v>8964750.16</v>
      </c>
      <c r="I336" s="116">
        <f t="shared" si="104"/>
        <v>9046978.339999998</v>
      </c>
      <c r="J336" s="116">
        <f t="shared" si="104"/>
        <v>8527676.09</v>
      </c>
      <c r="K336" s="116">
        <f t="shared" si="104"/>
        <v>9043465.139999999</v>
      </c>
      <c r="L336" s="116">
        <f t="shared" si="104"/>
        <v>6543530.7</v>
      </c>
      <c r="M336" s="116">
        <f t="shared" si="104"/>
        <v>2013713.69</v>
      </c>
      <c r="N336" s="125">
        <f t="shared" si="104"/>
        <v>59939267.12</v>
      </c>
    </row>
    <row r="337" spans="1:14" s="24" customFormat="1" ht="12.75">
      <c r="A337" s="377"/>
      <c r="B337" s="377"/>
      <c r="C337" s="132" t="s">
        <v>4</v>
      </c>
      <c r="D337" s="116">
        <f aca="true" t="shared" si="105" ref="D337:N337">D118+D233+D330</f>
        <v>2238560.0300000003</v>
      </c>
      <c r="E337" s="116">
        <f t="shared" si="105"/>
        <v>442191.45999999996</v>
      </c>
      <c r="F337" s="116">
        <f t="shared" si="105"/>
        <v>371463.98</v>
      </c>
      <c r="G337" s="116">
        <f t="shared" si="105"/>
        <v>11979614.430000002</v>
      </c>
      <c r="H337" s="116">
        <f t="shared" si="105"/>
        <v>8230996.329999999</v>
      </c>
      <c r="I337" s="116">
        <f t="shared" si="105"/>
        <v>8489479.03</v>
      </c>
      <c r="J337" s="116">
        <f t="shared" si="105"/>
        <v>8191564.43</v>
      </c>
      <c r="K337" s="116">
        <f t="shared" si="105"/>
        <v>8859717.250000002</v>
      </c>
      <c r="L337" s="116">
        <f t="shared" si="105"/>
        <v>6626791.34</v>
      </c>
      <c r="M337" s="116">
        <f t="shared" si="105"/>
        <v>2176582.64</v>
      </c>
      <c r="N337" s="125">
        <f t="shared" si="105"/>
        <v>57606960.919999994</v>
      </c>
    </row>
    <row r="338" spans="1:14" s="24" customFormat="1" ht="12.75">
      <c r="A338" s="377"/>
      <c r="B338" s="377"/>
      <c r="C338" s="132" t="s">
        <v>3</v>
      </c>
      <c r="D338" s="116">
        <f aca="true" t="shared" si="106" ref="D338:N338">D119+D234+D331</f>
        <v>2234135.24</v>
      </c>
      <c r="E338" s="116">
        <f t="shared" si="106"/>
        <v>360100.45999999996</v>
      </c>
      <c r="F338" s="116">
        <f t="shared" si="106"/>
        <v>386309.2100000001</v>
      </c>
      <c r="G338" s="116">
        <f t="shared" si="106"/>
        <v>12818608.09</v>
      </c>
      <c r="H338" s="116">
        <f t="shared" si="106"/>
        <v>8964750.16</v>
      </c>
      <c r="I338" s="116">
        <f t="shared" si="106"/>
        <v>9046978.339999998</v>
      </c>
      <c r="J338" s="116">
        <f t="shared" si="106"/>
        <v>8527676.089999998</v>
      </c>
      <c r="K338" s="116">
        <f t="shared" si="106"/>
        <v>9043465.14</v>
      </c>
      <c r="L338" s="116">
        <f t="shared" si="106"/>
        <v>6543530.7</v>
      </c>
      <c r="M338" s="116">
        <f t="shared" si="106"/>
        <v>2013713.69</v>
      </c>
      <c r="N338" s="125">
        <f t="shared" si="106"/>
        <v>59939267.12</v>
      </c>
    </row>
    <row r="339" spans="1:14" s="3" customFormat="1" ht="13.5" thickBot="1">
      <c r="A339" s="378"/>
      <c r="B339" s="378"/>
      <c r="C339" s="148" t="s">
        <v>199</v>
      </c>
      <c r="D339" s="126">
        <f aca="true" t="shared" si="107" ref="D339:N339">D120+D235+D332</f>
        <v>192739.30000000002</v>
      </c>
      <c r="E339" s="126">
        <f t="shared" si="107"/>
        <v>586826.7599999999</v>
      </c>
      <c r="F339" s="126">
        <f t="shared" si="107"/>
        <v>8051.890000000013</v>
      </c>
      <c r="G339" s="126">
        <f t="shared" si="107"/>
        <v>1527723.8700000003</v>
      </c>
      <c r="H339" s="126">
        <f t="shared" si="107"/>
        <v>980140.3399999993</v>
      </c>
      <c r="I339" s="126">
        <f t="shared" si="107"/>
        <v>1529323.9400000002</v>
      </c>
      <c r="J339" s="126">
        <f t="shared" si="107"/>
        <v>1242976.5500000005</v>
      </c>
      <c r="K339" s="126">
        <f t="shared" si="107"/>
        <v>944679.9599999995</v>
      </c>
      <c r="L339" s="126">
        <f t="shared" si="107"/>
        <v>2334203.6599999997</v>
      </c>
      <c r="M339" s="126">
        <f t="shared" si="107"/>
        <v>389774.02999999997</v>
      </c>
      <c r="N339" s="127">
        <f t="shared" si="107"/>
        <v>9736440.299999999</v>
      </c>
    </row>
  </sheetData>
  <sheetProtection/>
  <mergeCells count="90">
    <mergeCell ref="B72:B77"/>
    <mergeCell ref="B102:B107"/>
    <mergeCell ref="A90:A113"/>
    <mergeCell ref="B78:B83"/>
    <mergeCell ref="A1:N1"/>
    <mergeCell ref="A2:N2"/>
    <mergeCell ref="A6:A35"/>
    <mergeCell ref="C3:C4"/>
    <mergeCell ref="A3:B5"/>
    <mergeCell ref="N3:N4"/>
    <mergeCell ref="B30:B35"/>
    <mergeCell ref="B12:B17"/>
    <mergeCell ref="D3:M3"/>
    <mergeCell ref="B18:B23"/>
    <mergeCell ref="A114:C114"/>
    <mergeCell ref="B96:B101"/>
    <mergeCell ref="B42:B47"/>
    <mergeCell ref="B66:B71"/>
    <mergeCell ref="B108:B113"/>
    <mergeCell ref="B84:B89"/>
    <mergeCell ref="B48:B53"/>
    <mergeCell ref="B90:B95"/>
    <mergeCell ref="A36:A65"/>
    <mergeCell ref="A66:A89"/>
    <mergeCell ref="B24:B29"/>
    <mergeCell ref="B36:B41"/>
    <mergeCell ref="B60:B65"/>
    <mergeCell ref="B6:B11"/>
    <mergeCell ref="B54:B59"/>
    <mergeCell ref="B133:B138"/>
    <mergeCell ref="A326:C326"/>
    <mergeCell ref="A121:A156"/>
    <mergeCell ref="B145:B150"/>
    <mergeCell ref="A187:A222"/>
    <mergeCell ref="B139:B144"/>
    <mergeCell ref="A157:A162"/>
    <mergeCell ref="B151:B156"/>
    <mergeCell ref="A223:A228"/>
    <mergeCell ref="B157:B162"/>
    <mergeCell ref="A115:B120"/>
    <mergeCell ref="A327:B332"/>
    <mergeCell ref="B127:B132"/>
    <mergeCell ref="B175:B180"/>
    <mergeCell ref="B181:B186"/>
    <mergeCell ref="B199:B204"/>
    <mergeCell ref="B193:B198"/>
    <mergeCell ref="B217:B222"/>
    <mergeCell ref="A266:A271"/>
    <mergeCell ref="A260:A265"/>
    <mergeCell ref="B121:B126"/>
    <mergeCell ref="A230:B235"/>
    <mergeCell ref="A248:A253"/>
    <mergeCell ref="B290:B295"/>
    <mergeCell ref="B169:B174"/>
    <mergeCell ref="B163:B168"/>
    <mergeCell ref="A163:A168"/>
    <mergeCell ref="B248:B253"/>
    <mergeCell ref="A229:C229"/>
    <mergeCell ref="A169:A186"/>
    <mergeCell ref="B320:B325"/>
    <mergeCell ref="B278:B283"/>
    <mergeCell ref="B296:B301"/>
    <mergeCell ref="A296:A301"/>
    <mergeCell ref="A314:A319"/>
    <mergeCell ref="A278:A283"/>
    <mergeCell ref="A302:A307"/>
    <mergeCell ref="A334:B339"/>
    <mergeCell ref="A284:A289"/>
    <mergeCell ref="B284:B289"/>
    <mergeCell ref="B308:B313"/>
    <mergeCell ref="B302:B307"/>
    <mergeCell ref="B314:B319"/>
    <mergeCell ref="A333:C333"/>
    <mergeCell ref="A320:A325"/>
    <mergeCell ref="A308:A313"/>
    <mergeCell ref="A290:A295"/>
    <mergeCell ref="A242:A247"/>
    <mergeCell ref="B242:B247"/>
    <mergeCell ref="B266:B271"/>
    <mergeCell ref="A254:A259"/>
    <mergeCell ref="A236:A241"/>
    <mergeCell ref="B187:B192"/>
    <mergeCell ref="B260:B265"/>
    <mergeCell ref="A272:A277"/>
    <mergeCell ref="B254:B259"/>
    <mergeCell ref="B223:B228"/>
    <mergeCell ref="B211:B216"/>
    <mergeCell ref="B272:B277"/>
    <mergeCell ref="B236:B241"/>
    <mergeCell ref="B205:B210"/>
  </mergeCells>
  <printOptions/>
  <pageMargins left="0.17" right="0.1968503937007874" top="0.17" bottom="0.1968503937007874" header="0.17" footer="0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0"/>
  <sheetViews>
    <sheetView zoomScalePageLayoutView="0" workbookViewId="0" topLeftCell="A1">
      <selection activeCell="G13" sqref="G13:G14"/>
    </sheetView>
  </sheetViews>
  <sheetFormatPr defaultColWidth="9.00390625" defaultRowHeight="12.75"/>
  <cols>
    <col min="1" max="1" width="6.25390625" style="7" customWidth="1"/>
    <col min="2" max="2" width="7.125" style="7" customWidth="1"/>
    <col min="3" max="3" width="22.75390625" style="27" customWidth="1"/>
    <col min="4" max="4" width="14.00390625" style="27" customWidth="1"/>
    <col min="5" max="5" width="12.00390625" style="4" customWidth="1"/>
    <col min="6" max="16384" width="9.125" style="27" customWidth="1"/>
  </cols>
  <sheetData>
    <row r="1" spans="1:5" s="10" customFormat="1" ht="15.75">
      <c r="A1" s="425" t="s">
        <v>198</v>
      </c>
      <c r="B1" s="425"/>
      <c r="C1" s="425"/>
      <c r="D1" s="425"/>
      <c r="E1" s="425"/>
    </row>
    <row r="2" spans="1:5" s="10" customFormat="1" ht="16.5" thickBot="1">
      <c r="A2" s="424"/>
      <c r="B2" s="424"/>
      <c r="C2" s="424"/>
      <c r="D2" s="424"/>
      <c r="E2" s="424"/>
    </row>
    <row r="3" spans="1:5" s="24" customFormat="1" ht="12.75" customHeight="1" thickBot="1">
      <c r="A3" s="443" t="s">
        <v>8</v>
      </c>
      <c r="B3" s="443"/>
      <c r="C3" s="413" t="s">
        <v>180</v>
      </c>
      <c r="D3" s="507" t="s">
        <v>170</v>
      </c>
      <c r="E3" s="459" t="s">
        <v>48</v>
      </c>
    </row>
    <row r="4" spans="1:5" s="25" customFormat="1" ht="17.25" customHeight="1" thickBot="1">
      <c r="A4" s="443"/>
      <c r="B4" s="443"/>
      <c r="C4" s="414"/>
      <c r="D4" s="508"/>
      <c r="E4" s="459"/>
    </row>
    <row r="5" spans="1:5" s="24" customFormat="1" ht="13.5" customHeight="1" thickBot="1">
      <c r="A5" s="443"/>
      <c r="B5" s="443"/>
      <c r="C5" s="6" t="s">
        <v>9</v>
      </c>
      <c r="D5" s="20">
        <v>1</v>
      </c>
      <c r="E5" s="8">
        <v>2</v>
      </c>
    </row>
    <row r="6" spans="1:5" s="24" customFormat="1" ht="13.5" thickBot="1">
      <c r="A6" s="428" t="s">
        <v>5</v>
      </c>
      <c r="B6" s="429" t="s">
        <v>6</v>
      </c>
      <c r="C6" s="51" t="s">
        <v>175</v>
      </c>
      <c r="D6" s="214">
        <v>40771.7</v>
      </c>
      <c r="E6" s="214">
        <f>D6</f>
        <v>40771.7</v>
      </c>
    </row>
    <row r="7" spans="1:5" s="24" customFormat="1" ht="13.5" thickBot="1">
      <c r="A7" s="428"/>
      <c r="B7" s="429"/>
      <c r="C7" s="39" t="s">
        <v>1</v>
      </c>
      <c r="D7" s="216">
        <v>43223.42</v>
      </c>
      <c r="E7" s="173">
        <f aca="true" t="shared" si="0" ref="E7:E70">D7</f>
        <v>43223.42</v>
      </c>
    </row>
    <row r="8" spans="1:5" s="24" customFormat="1" ht="13.5" thickBot="1">
      <c r="A8" s="428"/>
      <c r="B8" s="429"/>
      <c r="C8" s="39" t="s">
        <v>2</v>
      </c>
      <c r="D8" s="177">
        <v>35823.22</v>
      </c>
      <c r="E8" s="173">
        <f t="shared" si="0"/>
        <v>35823.22</v>
      </c>
    </row>
    <row r="9" spans="1:5" s="24" customFormat="1" ht="13.5" thickBot="1">
      <c r="A9" s="428"/>
      <c r="B9" s="429"/>
      <c r="C9" s="39" t="s">
        <v>4</v>
      </c>
      <c r="D9" s="216">
        <f>+D7</f>
        <v>43223.42</v>
      </c>
      <c r="E9" s="216">
        <f>+E7</f>
        <v>43223.42</v>
      </c>
    </row>
    <row r="10" spans="1:5" s="24" customFormat="1" ht="13.5" thickBot="1">
      <c r="A10" s="428"/>
      <c r="B10" s="429"/>
      <c r="C10" s="39" t="s">
        <v>3</v>
      </c>
      <c r="D10" s="177">
        <f>+D8</f>
        <v>35823.22</v>
      </c>
      <c r="E10" s="177">
        <f>+E8</f>
        <v>35823.22</v>
      </c>
    </row>
    <row r="11" spans="1:5" s="3" customFormat="1" ht="13.5" thickBot="1">
      <c r="A11" s="428"/>
      <c r="B11" s="429"/>
      <c r="C11" s="40" t="s">
        <v>199</v>
      </c>
      <c r="D11" s="159">
        <f>D6+D7-D8</f>
        <v>48171.899999999994</v>
      </c>
      <c r="E11" s="174">
        <f t="shared" si="0"/>
        <v>48171.899999999994</v>
      </c>
    </row>
    <row r="12" spans="1:5" s="3" customFormat="1" ht="13.5" thickBot="1">
      <c r="A12" s="428"/>
      <c r="B12" s="429" t="s">
        <v>7</v>
      </c>
      <c r="C12" s="51" t="s">
        <v>175</v>
      </c>
      <c r="D12" s="179">
        <v>38650.91</v>
      </c>
      <c r="E12" s="172">
        <f t="shared" si="0"/>
        <v>38650.91</v>
      </c>
    </row>
    <row r="13" spans="1:5" s="3" customFormat="1" ht="13.5" thickBot="1">
      <c r="A13" s="428"/>
      <c r="B13" s="429"/>
      <c r="C13" s="39" t="s">
        <v>1</v>
      </c>
      <c r="D13" s="177">
        <v>36491.26</v>
      </c>
      <c r="E13" s="173">
        <f t="shared" si="0"/>
        <v>36491.26</v>
      </c>
    </row>
    <row r="14" spans="1:5" s="3" customFormat="1" ht="13.5" thickBot="1">
      <c r="A14" s="428"/>
      <c r="B14" s="429"/>
      <c r="C14" s="39" t="s">
        <v>2</v>
      </c>
      <c r="D14" s="177">
        <v>31969.66</v>
      </c>
      <c r="E14" s="173">
        <f t="shared" si="0"/>
        <v>31969.66</v>
      </c>
    </row>
    <row r="15" spans="1:5" s="3" customFormat="1" ht="13.5" thickBot="1">
      <c r="A15" s="428"/>
      <c r="B15" s="429"/>
      <c r="C15" s="39" t="s">
        <v>4</v>
      </c>
      <c r="D15" s="216">
        <f>+D13</f>
        <v>36491.26</v>
      </c>
      <c r="E15" s="216">
        <f>+E13</f>
        <v>36491.26</v>
      </c>
    </row>
    <row r="16" spans="1:5" s="3" customFormat="1" ht="13.5" thickBot="1">
      <c r="A16" s="428"/>
      <c r="B16" s="429"/>
      <c r="C16" s="39" t="s">
        <v>3</v>
      </c>
      <c r="D16" s="177">
        <f>+D14</f>
        <v>31969.66</v>
      </c>
      <c r="E16" s="177">
        <f>+E14</f>
        <v>31969.66</v>
      </c>
    </row>
    <row r="17" spans="1:5" s="3" customFormat="1" ht="13.5" thickBot="1">
      <c r="A17" s="428"/>
      <c r="B17" s="429"/>
      <c r="C17" s="40" t="s">
        <v>199</v>
      </c>
      <c r="D17" s="75">
        <f>D12+D13-D14</f>
        <v>43172.51000000001</v>
      </c>
      <c r="E17" s="174">
        <f t="shared" si="0"/>
        <v>43172.51000000001</v>
      </c>
    </row>
    <row r="18" spans="1:5" s="24" customFormat="1" ht="13.5" thickBot="1">
      <c r="A18" s="428"/>
      <c r="B18" s="429" t="s">
        <v>138</v>
      </c>
      <c r="C18" s="51" t="s">
        <v>175</v>
      </c>
      <c r="D18" s="177">
        <v>-16.97</v>
      </c>
      <c r="E18" s="172">
        <f t="shared" si="0"/>
        <v>-16.97</v>
      </c>
    </row>
    <row r="19" spans="1:5" s="24" customFormat="1" ht="13.5" thickBot="1">
      <c r="A19" s="428"/>
      <c r="B19" s="429"/>
      <c r="C19" s="39" t="s">
        <v>1</v>
      </c>
      <c r="D19" s="177">
        <v>16.97</v>
      </c>
      <c r="E19" s="173">
        <f t="shared" si="0"/>
        <v>16.97</v>
      </c>
    </row>
    <row r="20" spans="1:5" s="24" customFormat="1" ht="13.5" thickBot="1">
      <c r="A20" s="428"/>
      <c r="B20" s="429"/>
      <c r="C20" s="39" t="s">
        <v>2</v>
      </c>
      <c r="D20" s="177">
        <v>0</v>
      </c>
      <c r="E20" s="173">
        <f t="shared" si="0"/>
        <v>0</v>
      </c>
    </row>
    <row r="21" spans="1:5" s="24" customFormat="1" ht="13.5" thickBot="1">
      <c r="A21" s="428"/>
      <c r="B21" s="429"/>
      <c r="C21" s="39" t="s">
        <v>4</v>
      </c>
      <c r="D21" s="216">
        <f>+D19</f>
        <v>16.97</v>
      </c>
      <c r="E21" s="216">
        <f>+E19</f>
        <v>16.97</v>
      </c>
    </row>
    <row r="22" spans="1:5" s="24" customFormat="1" ht="13.5" thickBot="1">
      <c r="A22" s="428"/>
      <c r="B22" s="429"/>
      <c r="C22" s="39" t="s">
        <v>3</v>
      </c>
      <c r="D22" s="177">
        <f>+D20</f>
        <v>0</v>
      </c>
      <c r="E22" s="177">
        <f>+E20</f>
        <v>0</v>
      </c>
    </row>
    <row r="23" spans="1:5" s="3" customFormat="1" ht="13.5" thickBot="1">
      <c r="A23" s="428"/>
      <c r="B23" s="429"/>
      <c r="C23" s="40" t="s">
        <v>199</v>
      </c>
      <c r="D23" s="75">
        <f>D18+D19-D20</f>
        <v>0</v>
      </c>
      <c r="E23" s="174">
        <f t="shared" si="0"/>
        <v>0</v>
      </c>
    </row>
    <row r="24" spans="1:5" s="3" customFormat="1" ht="13.5" customHeight="1" hidden="1" thickBot="1">
      <c r="A24" s="434" t="s">
        <v>62</v>
      </c>
      <c r="B24" s="429" t="s">
        <v>10</v>
      </c>
      <c r="C24" s="51" t="s">
        <v>156</v>
      </c>
      <c r="D24" s="90"/>
      <c r="E24" s="172">
        <f t="shared" si="0"/>
        <v>0</v>
      </c>
    </row>
    <row r="25" spans="1:5" s="3" customFormat="1" ht="13.5" customHeight="1" hidden="1" thickBot="1">
      <c r="A25" s="433"/>
      <c r="B25" s="429"/>
      <c r="C25" s="39" t="s">
        <v>1</v>
      </c>
      <c r="D25" s="86"/>
      <c r="E25" s="173">
        <f t="shared" si="0"/>
        <v>0</v>
      </c>
    </row>
    <row r="26" spans="1:5" s="3" customFormat="1" ht="13.5" customHeight="1" hidden="1" thickBot="1">
      <c r="A26" s="433"/>
      <c r="B26" s="429"/>
      <c r="C26" s="39" t="s">
        <v>2</v>
      </c>
      <c r="D26" s="86"/>
      <c r="E26" s="173">
        <f t="shared" si="0"/>
        <v>0</v>
      </c>
    </row>
    <row r="27" spans="1:5" s="3" customFormat="1" ht="13.5" customHeight="1" hidden="1" thickBot="1">
      <c r="A27" s="433"/>
      <c r="B27" s="429"/>
      <c r="C27" s="39" t="s">
        <v>4</v>
      </c>
      <c r="D27" s="112">
        <f>D25</f>
        <v>0</v>
      </c>
      <c r="E27" s="173">
        <f t="shared" si="0"/>
        <v>0</v>
      </c>
    </row>
    <row r="28" spans="1:5" s="3" customFormat="1" ht="13.5" customHeight="1" hidden="1" thickBot="1">
      <c r="A28" s="433"/>
      <c r="B28" s="429"/>
      <c r="C28" s="39" t="s">
        <v>3</v>
      </c>
      <c r="D28" s="112">
        <f>D25</f>
        <v>0</v>
      </c>
      <c r="E28" s="173">
        <f t="shared" si="0"/>
        <v>0</v>
      </c>
    </row>
    <row r="29" spans="1:5" s="3" customFormat="1" ht="13.5" customHeight="1" hidden="1" thickBot="1">
      <c r="A29" s="433"/>
      <c r="B29" s="429"/>
      <c r="C29" s="40" t="s">
        <v>160</v>
      </c>
      <c r="D29" s="110">
        <f>D24+D25-D26</f>
        <v>0</v>
      </c>
      <c r="E29" s="173">
        <f t="shared" si="0"/>
        <v>0</v>
      </c>
    </row>
    <row r="30" spans="1:5" s="3" customFormat="1" ht="13.5" customHeight="1" hidden="1" thickBot="1">
      <c r="A30" s="433"/>
      <c r="B30" s="429" t="s">
        <v>12</v>
      </c>
      <c r="C30" s="51" t="s">
        <v>156</v>
      </c>
      <c r="D30" s="86"/>
      <c r="E30" s="173">
        <f t="shared" si="0"/>
        <v>0</v>
      </c>
    </row>
    <row r="31" spans="1:5" s="3" customFormat="1" ht="13.5" customHeight="1" hidden="1" thickBot="1">
      <c r="A31" s="433"/>
      <c r="B31" s="429"/>
      <c r="C31" s="39" t="s">
        <v>1</v>
      </c>
      <c r="D31" s="86"/>
      <c r="E31" s="173">
        <f t="shared" si="0"/>
        <v>0</v>
      </c>
    </row>
    <row r="32" spans="1:5" s="3" customFormat="1" ht="13.5" customHeight="1" hidden="1" thickBot="1">
      <c r="A32" s="433"/>
      <c r="B32" s="429"/>
      <c r="C32" s="39" t="s">
        <v>2</v>
      </c>
      <c r="D32" s="86"/>
      <c r="E32" s="173">
        <f t="shared" si="0"/>
        <v>0</v>
      </c>
    </row>
    <row r="33" spans="1:5" s="3" customFormat="1" ht="13.5" customHeight="1" hidden="1" thickBot="1">
      <c r="A33" s="433"/>
      <c r="B33" s="429"/>
      <c r="C33" s="39" t="s">
        <v>4</v>
      </c>
      <c r="D33" s="112">
        <f>D31</f>
        <v>0</v>
      </c>
      <c r="E33" s="173">
        <f t="shared" si="0"/>
        <v>0</v>
      </c>
    </row>
    <row r="34" spans="1:5" s="3" customFormat="1" ht="13.5" customHeight="1" hidden="1" thickBot="1">
      <c r="A34" s="433"/>
      <c r="B34" s="429"/>
      <c r="C34" s="39" t="s">
        <v>3</v>
      </c>
      <c r="D34" s="112">
        <f>D31</f>
        <v>0</v>
      </c>
      <c r="E34" s="173">
        <f t="shared" si="0"/>
        <v>0</v>
      </c>
    </row>
    <row r="35" spans="1:5" s="3" customFormat="1" ht="13.5" customHeight="1" hidden="1" thickBot="1">
      <c r="A35" s="435"/>
      <c r="B35" s="430"/>
      <c r="C35" s="40" t="s">
        <v>160</v>
      </c>
      <c r="D35" s="110">
        <f>D30+D31-D32</f>
        <v>0</v>
      </c>
      <c r="E35" s="173">
        <f t="shared" si="0"/>
        <v>0</v>
      </c>
    </row>
    <row r="36" spans="1:5" s="24" customFormat="1" ht="12.75" customHeight="1" thickBot="1">
      <c r="A36" s="428" t="s">
        <v>11</v>
      </c>
      <c r="B36" s="429" t="s">
        <v>10</v>
      </c>
      <c r="C36" s="51" t="s">
        <v>175</v>
      </c>
      <c r="D36" s="177">
        <v>-73993.77</v>
      </c>
      <c r="E36" s="173">
        <f t="shared" si="0"/>
        <v>-73993.77</v>
      </c>
    </row>
    <row r="37" spans="1:5" s="24" customFormat="1" ht="13.5" thickBot="1">
      <c r="A37" s="428"/>
      <c r="B37" s="429"/>
      <c r="C37" s="39" t="s">
        <v>1</v>
      </c>
      <c r="D37" s="177">
        <v>666417.98</v>
      </c>
      <c r="E37" s="173">
        <f t="shared" si="0"/>
        <v>666417.98</v>
      </c>
    </row>
    <row r="38" spans="1:5" s="24" customFormat="1" ht="13.5" thickBot="1">
      <c r="A38" s="428"/>
      <c r="B38" s="429"/>
      <c r="C38" s="39" t="s">
        <v>2</v>
      </c>
      <c r="D38" s="177">
        <v>390044.87</v>
      </c>
      <c r="E38" s="173">
        <f t="shared" si="0"/>
        <v>390044.87</v>
      </c>
    </row>
    <row r="39" spans="1:5" s="24" customFormat="1" ht="13.5" thickBot="1">
      <c r="A39" s="428"/>
      <c r="B39" s="429"/>
      <c r="C39" s="39" t="s">
        <v>4</v>
      </c>
      <c r="D39" s="216">
        <v>541590.94</v>
      </c>
      <c r="E39" s="216">
        <f>+E37</f>
        <v>666417.98</v>
      </c>
    </row>
    <row r="40" spans="1:5" s="24" customFormat="1" ht="13.5" thickBot="1">
      <c r="A40" s="428"/>
      <c r="B40" s="429"/>
      <c r="C40" s="39" t="s">
        <v>3</v>
      </c>
      <c r="D40" s="177">
        <f>+D38</f>
        <v>390044.87</v>
      </c>
      <c r="E40" s="177">
        <f>+E38</f>
        <v>390044.87</v>
      </c>
    </row>
    <row r="41" spans="1:5" s="3" customFormat="1" ht="13.5" thickBot="1">
      <c r="A41" s="428"/>
      <c r="B41" s="429"/>
      <c r="C41" s="40" t="s">
        <v>199</v>
      </c>
      <c r="D41" s="75">
        <f>D36+D37-D38</f>
        <v>202379.33999999997</v>
      </c>
      <c r="E41" s="174">
        <f t="shared" si="0"/>
        <v>202379.33999999997</v>
      </c>
    </row>
    <row r="42" spans="1:5" s="3" customFormat="1" ht="13.5" thickBot="1">
      <c r="A42" s="428"/>
      <c r="B42" s="432" t="s">
        <v>12</v>
      </c>
      <c r="C42" s="51" t="s">
        <v>175</v>
      </c>
      <c r="D42" s="179">
        <v>49444.85</v>
      </c>
      <c r="E42" s="172">
        <f t="shared" si="0"/>
        <v>49444.85</v>
      </c>
    </row>
    <row r="43" spans="1:5" s="3" customFormat="1" ht="13.5" thickBot="1">
      <c r="A43" s="428"/>
      <c r="B43" s="429"/>
      <c r="C43" s="39" t="s">
        <v>1</v>
      </c>
      <c r="D43" s="177">
        <v>56149.71</v>
      </c>
      <c r="E43" s="173">
        <f t="shared" si="0"/>
        <v>56149.71</v>
      </c>
    </row>
    <row r="44" spans="1:5" s="3" customFormat="1" ht="13.5" thickBot="1">
      <c r="A44" s="428"/>
      <c r="B44" s="429"/>
      <c r="C44" s="39" t="s">
        <v>2</v>
      </c>
      <c r="D44" s="177">
        <v>45548.22</v>
      </c>
      <c r="E44" s="173">
        <f t="shared" si="0"/>
        <v>45548.22</v>
      </c>
    </row>
    <row r="45" spans="1:5" s="3" customFormat="1" ht="13.5" thickBot="1">
      <c r="A45" s="428"/>
      <c r="B45" s="429"/>
      <c r="C45" s="39" t="s">
        <v>4</v>
      </c>
      <c r="D45" s="216">
        <f>+D43</f>
        <v>56149.71</v>
      </c>
      <c r="E45" s="216">
        <f>+E43</f>
        <v>56149.71</v>
      </c>
    </row>
    <row r="46" spans="1:5" s="3" customFormat="1" ht="13.5" thickBot="1">
      <c r="A46" s="428"/>
      <c r="B46" s="429"/>
      <c r="C46" s="39" t="s">
        <v>3</v>
      </c>
      <c r="D46" s="177">
        <f>+D44</f>
        <v>45548.22</v>
      </c>
      <c r="E46" s="177">
        <f>+E44</f>
        <v>45548.22</v>
      </c>
    </row>
    <row r="47" spans="1:5" s="3" customFormat="1" ht="13.5" thickBot="1">
      <c r="A47" s="428"/>
      <c r="B47" s="429"/>
      <c r="C47" s="40" t="s">
        <v>199</v>
      </c>
      <c r="D47" s="75">
        <f>D42+D43-D44</f>
        <v>60046.34</v>
      </c>
      <c r="E47" s="174">
        <f t="shared" si="0"/>
        <v>60046.34</v>
      </c>
    </row>
    <row r="48" spans="1:5" s="24" customFormat="1" ht="13.5" thickBot="1">
      <c r="A48" s="428"/>
      <c r="B48" s="429" t="s">
        <v>139</v>
      </c>
      <c r="C48" s="51" t="s">
        <v>175</v>
      </c>
      <c r="D48" s="176">
        <v>-26.48</v>
      </c>
      <c r="E48" s="214">
        <f t="shared" si="0"/>
        <v>-26.48</v>
      </c>
    </row>
    <row r="49" spans="1:5" s="24" customFormat="1" ht="13.5" thickBot="1">
      <c r="A49" s="428"/>
      <c r="B49" s="429"/>
      <c r="C49" s="39" t="s">
        <v>1</v>
      </c>
      <c r="D49" s="177">
        <v>26.48</v>
      </c>
      <c r="E49" s="173">
        <f t="shared" si="0"/>
        <v>26.48</v>
      </c>
    </row>
    <row r="50" spans="1:5" s="24" customFormat="1" ht="13.5" thickBot="1">
      <c r="A50" s="428"/>
      <c r="B50" s="429"/>
      <c r="C50" s="39" t="s">
        <v>2</v>
      </c>
      <c r="D50" s="177">
        <v>0</v>
      </c>
      <c r="E50" s="173">
        <f t="shared" si="0"/>
        <v>0</v>
      </c>
    </row>
    <row r="51" spans="1:5" s="24" customFormat="1" ht="13.5" thickBot="1">
      <c r="A51" s="428"/>
      <c r="B51" s="429"/>
      <c r="C51" s="53" t="s">
        <v>4</v>
      </c>
      <c r="D51" s="212">
        <f>+D49</f>
        <v>26.48</v>
      </c>
      <c r="E51" s="212">
        <f>+E49</f>
        <v>26.48</v>
      </c>
    </row>
    <row r="52" spans="1:5" s="24" customFormat="1" ht="13.5" thickBot="1">
      <c r="A52" s="428"/>
      <c r="B52" s="460"/>
      <c r="C52" s="32" t="s">
        <v>3</v>
      </c>
      <c r="D52" s="173">
        <f>+D50</f>
        <v>0</v>
      </c>
      <c r="E52" s="173">
        <f>+E50</f>
        <v>0</v>
      </c>
    </row>
    <row r="53" spans="1:5" s="3" customFormat="1" ht="15.75" customHeight="1" thickBot="1">
      <c r="A53" s="428"/>
      <c r="B53" s="460"/>
      <c r="C53" s="238" t="s">
        <v>199</v>
      </c>
      <c r="D53" s="75">
        <f>D48+D49-D50</f>
        <v>0</v>
      </c>
      <c r="E53" s="174">
        <f t="shared" si="0"/>
        <v>0</v>
      </c>
    </row>
    <row r="54" spans="1:5" s="3" customFormat="1" ht="13.5" customHeight="1" thickBot="1">
      <c r="A54" s="428"/>
      <c r="B54" s="509" t="s">
        <v>171</v>
      </c>
      <c r="C54" s="51" t="s">
        <v>175</v>
      </c>
      <c r="D54" s="179">
        <f>124641.03+2778.02+650.71</f>
        <v>128069.76000000001</v>
      </c>
      <c r="E54" s="172">
        <f aca="true" t="shared" si="1" ref="E54:E59">D54</f>
        <v>128069.76000000001</v>
      </c>
    </row>
    <row r="55" spans="1:5" s="3" customFormat="1" ht="13.5" customHeight="1" thickBot="1">
      <c r="A55" s="428"/>
      <c r="B55" s="510"/>
      <c r="C55" s="39" t="s">
        <v>1</v>
      </c>
      <c r="D55" s="177">
        <f>141750.23+14067.23+3496.4</f>
        <v>159313.86000000002</v>
      </c>
      <c r="E55" s="173">
        <f t="shared" si="1"/>
        <v>159313.86000000002</v>
      </c>
    </row>
    <row r="56" spans="1:5" s="3" customFormat="1" ht="13.5" customHeight="1" thickBot="1">
      <c r="A56" s="428"/>
      <c r="B56" s="510"/>
      <c r="C56" s="39" t="s">
        <v>2</v>
      </c>
      <c r="D56" s="177">
        <f>115880.57+10994.92+2111.93</f>
        <v>128987.42</v>
      </c>
      <c r="E56" s="173">
        <f t="shared" si="1"/>
        <v>128987.42</v>
      </c>
    </row>
    <row r="57" spans="1:5" s="3" customFormat="1" ht="14.25" customHeight="1" thickBot="1">
      <c r="A57" s="428"/>
      <c r="B57" s="510"/>
      <c r="C57" s="53" t="s">
        <v>4</v>
      </c>
      <c r="D57" s="216">
        <f>+D55</f>
        <v>159313.86000000002</v>
      </c>
      <c r="E57" s="216">
        <f>+E55</f>
        <v>159313.86000000002</v>
      </c>
    </row>
    <row r="58" spans="1:5" s="3" customFormat="1" ht="12" customHeight="1" thickBot="1">
      <c r="A58" s="428"/>
      <c r="B58" s="510"/>
      <c r="C58" s="32" t="s">
        <v>3</v>
      </c>
      <c r="D58" s="177">
        <f>+D56</f>
        <v>128987.42</v>
      </c>
      <c r="E58" s="177">
        <f>+E56</f>
        <v>128987.42</v>
      </c>
    </row>
    <row r="59" spans="1:5" s="3" customFormat="1" ht="13.5" customHeight="1" thickBot="1">
      <c r="A59" s="428"/>
      <c r="B59" s="511"/>
      <c r="C59" s="238" t="s">
        <v>199</v>
      </c>
      <c r="D59" s="159">
        <f>D54+D55-D56</f>
        <v>158396.2</v>
      </c>
      <c r="E59" s="174">
        <f t="shared" si="1"/>
        <v>158396.2</v>
      </c>
    </row>
    <row r="60" spans="1:5" s="3" customFormat="1" ht="13.5" thickBot="1">
      <c r="A60" s="428"/>
      <c r="B60" s="430" t="s">
        <v>141</v>
      </c>
      <c r="C60" s="213" t="s">
        <v>175</v>
      </c>
      <c r="D60" s="179">
        <f>-507.67-318.58</f>
        <v>-826.25</v>
      </c>
      <c r="E60" s="172">
        <f t="shared" si="0"/>
        <v>-826.25</v>
      </c>
    </row>
    <row r="61" spans="1:5" s="3" customFormat="1" ht="13.5" thickBot="1">
      <c r="A61" s="428"/>
      <c r="B61" s="431"/>
      <c r="C61" s="39" t="s">
        <v>1</v>
      </c>
      <c r="D61" s="177">
        <f>507.67+318.58</f>
        <v>826.25</v>
      </c>
      <c r="E61" s="173">
        <f t="shared" si="0"/>
        <v>826.25</v>
      </c>
    </row>
    <row r="62" spans="1:5" s="3" customFormat="1" ht="13.5" thickBot="1">
      <c r="A62" s="428"/>
      <c r="B62" s="431"/>
      <c r="C62" s="39" t="s">
        <v>2</v>
      </c>
      <c r="D62" s="177">
        <v>0</v>
      </c>
      <c r="E62" s="173">
        <f t="shared" si="0"/>
        <v>0</v>
      </c>
    </row>
    <row r="63" spans="1:5" s="3" customFormat="1" ht="13.5" thickBot="1">
      <c r="A63" s="428"/>
      <c r="B63" s="431"/>
      <c r="C63" s="39" t="s">
        <v>4</v>
      </c>
      <c r="D63" s="216">
        <f>+D61</f>
        <v>826.25</v>
      </c>
      <c r="E63" s="216">
        <f>+E61</f>
        <v>826.25</v>
      </c>
    </row>
    <row r="64" spans="1:5" s="3" customFormat="1" ht="13.5" thickBot="1">
      <c r="A64" s="428"/>
      <c r="B64" s="431"/>
      <c r="C64" s="39" t="s">
        <v>3</v>
      </c>
      <c r="D64" s="177">
        <f>+D62</f>
        <v>0</v>
      </c>
      <c r="E64" s="177">
        <f>+E62</f>
        <v>0</v>
      </c>
    </row>
    <row r="65" spans="1:5" s="3" customFormat="1" ht="13.5" thickBot="1">
      <c r="A65" s="428"/>
      <c r="B65" s="432"/>
      <c r="C65" s="40" t="s">
        <v>199</v>
      </c>
      <c r="D65" s="159">
        <f>D60+D61-D62</f>
        <v>0</v>
      </c>
      <c r="E65" s="174">
        <f t="shared" si="0"/>
        <v>0</v>
      </c>
    </row>
    <row r="66" spans="1:5" s="3" customFormat="1" ht="13.5" customHeight="1" hidden="1">
      <c r="A66" s="434" t="s">
        <v>13</v>
      </c>
      <c r="B66" s="430" t="s">
        <v>10</v>
      </c>
      <c r="C66" s="51" t="s">
        <v>156</v>
      </c>
      <c r="D66" s="90"/>
      <c r="E66" s="172">
        <f t="shared" si="0"/>
        <v>0</v>
      </c>
    </row>
    <row r="67" spans="1:5" s="3" customFormat="1" ht="13.5" customHeight="1" hidden="1">
      <c r="A67" s="441"/>
      <c r="B67" s="431"/>
      <c r="C67" s="39" t="s">
        <v>1</v>
      </c>
      <c r="D67" s="86"/>
      <c r="E67" s="173">
        <f t="shared" si="0"/>
        <v>0</v>
      </c>
    </row>
    <row r="68" spans="1:5" s="3" customFormat="1" ht="13.5" customHeight="1" hidden="1">
      <c r="A68" s="441"/>
      <c r="B68" s="431"/>
      <c r="C68" s="39" t="s">
        <v>2</v>
      </c>
      <c r="D68" s="86"/>
      <c r="E68" s="173">
        <f t="shared" si="0"/>
        <v>0</v>
      </c>
    </row>
    <row r="69" spans="1:5" s="3" customFormat="1" ht="13.5" customHeight="1" hidden="1">
      <c r="A69" s="441"/>
      <c r="B69" s="431"/>
      <c r="C69" s="39" t="s">
        <v>4</v>
      </c>
      <c r="D69" s="112">
        <f>D67</f>
        <v>0</v>
      </c>
      <c r="E69" s="173">
        <f t="shared" si="0"/>
        <v>0</v>
      </c>
    </row>
    <row r="70" spans="1:5" s="3" customFormat="1" ht="13.5" customHeight="1" hidden="1">
      <c r="A70" s="441"/>
      <c r="B70" s="431"/>
      <c r="C70" s="39" t="s">
        <v>3</v>
      </c>
      <c r="D70" s="112">
        <f>D67</f>
        <v>0</v>
      </c>
      <c r="E70" s="173">
        <f t="shared" si="0"/>
        <v>0</v>
      </c>
    </row>
    <row r="71" spans="1:5" s="3" customFormat="1" ht="13.5" customHeight="1" hidden="1" thickBot="1">
      <c r="A71" s="441"/>
      <c r="B71" s="432"/>
      <c r="C71" s="40" t="s">
        <v>160</v>
      </c>
      <c r="D71" s="110">
        <f>D66+D67-D68</f>
        <v>0</v>
      </c>
      <c r="E71" s="173">
        <f aca="true" t="shared" si="2" ref="E71:E113">D71</f>
        <v>0</v>
      </c>
    </row>
    <row r="72" spans="1:5" s="3" customFormat="1" ht="13.5" customHeight="1" hidden="1">
      <c r="A72" s="441"/>
      <c r="B72" s="430" t="s">
        <v>12</v>
      </c>
      <c r="C72" s="51" t="s">
        <v>156</v>
      </c>
      <c r="D72" s="86"/>
      <c r="E72" s="173">
        <f t="shared" si="2"/>
        <v>0</v>
      </c>
    </row>
    <row r="73" spans="1:5" s="3" customFormat="1" ht="13.5" customHeight="1" hidden="1">
      <c r="A73" s="441"/>
      <c r="B73" s="431"/>
      <c r="C73" s="39" t="s">
        <v>1</v>
      </c>
      <c r="D73" s="86"/>
      <c r="E73" s="173">
        <f t="shared" si="2"/>
        <v>0</v>
      </c>
    </row>
    <row r="74" spans="1:5" s="3" customFormat="1" ht="13.5" customHeight="1" hidden="1">
      <c r="A74" s="441"/>
      <c r="B74" s="431"/>
      <c r="C74" s="39" t="s">
        <v>2</v>
      </c>
      <c r="D74" s="86"/>
      <c r="E74" s="173">
        <f t="shared" si="2"/>
        <v>0</v>
      </c>
    </row>
    <row r="75" spans="1:5" s="3" customFormat="1" ht="13.5" customHeight="1" hidden="1">
      <c r="A75" s="441"/>
      <c r="B75" s="431"/>
      <c r="C75" s="39" t="s">
        <v>4</v>
      </c>
      <c r="D75" s="112">
        <f>D73</f>
        <v>0</v>
      </c>
      <c r="E75" s="173">
        <f t="shared" si="2"/>
        <v>0</v>
      </c>
    </row>
    <row r="76" spans="1:5" s="3" customFormat="1" ht="13.5" customHeight="1" hidden="1">
      <c r="A76" s="441"/>
      <c r="B76" s="431"/>
      <c r="C76" s="39" t="s">
        <v>3</v>
      </c>
      <c r="D76" s="112">
        <f>D73</f>
        <v>0</v>
      </c>
      <c r="E76" s="173">
        <f t="shared" si="2"/>
        <v>0</v>
      </c>
    </row>
    <row r="77" spans="1:5" s="3" customFormat="1" ht="13.5" customHeight="1" hidden="1" thickBot="1">
      <c r="A77" s="441"/>
      <c r="B77" s="432"/>
      <c r="C77" s="40" t="s">
        <v>160</v>
      </c>
      <c r="D77" s="110">
        <f>D72+D73-D74</f>
        <v>0</v>
      </c>
      <c r="E77" s="173">
        <f t="shared" si="2"/>
        <v>0</v>
      </c>
    </row>
    <row r="78" spans="1:5" s="24" customFormat="1" ht="12.75" customHeight="1">
      <c r="A78" s="441"/>
      <c r="B78" s="430" t="s">
        <v>14</v>
      </c>
      <c r="C78" s="51" t="s">
        <v>175</v>
      </c>
      <c r="D78" s="120">
        <f>-4760.08+292.8</f>
        <v>-4467.28</v>
      </c>
      <c r="E78" s="173">
        <f t="shared" si="2"/>
        <v>-4467.28</v>
      </c>
    </row>
    <row r="79" spans="1:5" s="24" customFormat="1" ht="13.5" customHeight="1">
      <c r="A79" s="441"/>
      <c r="B79" s="431"/>
      <c r="C79" s="39" t="s">
        <v>1</v>
      </c>
      <c r="D79" s="120">
        <f>4760.08+12871.78</f>
        <v>17631.86</v>
      </c>
      <c r="E79" s="173">
        <f t="shared" si="2"/>
        <v>17631.86</v>
      </c>
    </row>
    <row r="80" spans="1:5" s="24" customFormat="1" ht="13.5" customHeight="1">
      <c r="A80" s="441"/>
      <c r="B80" s="431"/>
      <c r="C80" s="39" t="s">
        <v>2</v>
      </c>
      <c r="D80" s="120">
        <v>11460.58</v>
      </c>
      <c r="E80" s="173">
        <f t="shared" si="2"/>
        <v>11460.58</v>
      </c>
    </row>
    <row r="81" spans="1:5" s="24" customFormat="1" ht="13.5" customHeight="1">
      <c r="A81" s="441"/>
      <c r="B81" s="431"/>
      <c r="C81" s="39" t="s">
        <v>4</v>
      </c>
      <c r="D81" s="112">
        <f>+D79</f>
        <v>17631.86</v>
      </c>
      <c r="E81" s="112">
        <f>+E79</f>
        <v>17631.86</v>
      </c>
    </row>
    <row r="82" spans="1:5" s="24" customFormat="1" ht="13.5" customHeight="1">
      <c r="A82" s="441"/>
      <c r="B82" s="431"/>
      <c r="C82" s="39" t="s">
        <v>3</v>
      </c>
      <c r="D82" s="112">
        <f>+D80</f>
        <v>11460.58</v>
      </c>
      <c r="E82" s="112">
        <f>+E80</f>
        <v>11460.58</v>
      </c>
    </row>
    <row r="83" spans="1:5" s="3" customFormat="1" ht="13.5" customHeight="1" thickBot="1">
      <c r="A83" s="441"/>
      <c r="B83" s="432"/>
      <c r="C83" s="40" t="s">
        <v>199</v>
      </c>
      <c r="D83" s="75">
        <f>D78+D79-D80</f>
        <v>1704.0000000000018</v>
      </c>
      <c r="E83" s="174">
        <f t="shared" si="2"/>
        <v>1704.0000000000018</v>
      </c>
    </row>
    <row r="84" spans="1:5" s="24" customFormat="1" ht="13.5" customHeight="1">
      <c r="A84" s="441"/>
      <c r="B84" s="430" t="s">
        <v>15</v>
      </c>
      <c r="C84" s="51" t="s">
        <v>175</v>
      </c>
      <c r="D84" s="162">
        <v>1236.56</v>
      </c>
      <c r="E84" s="172">
        <f t="shared" si="2"/>
        <v>1236.56</v>
      </c>
    </row>
    <row r="85" spans="1:5" s="24" customFormat="1" ht="13.5" customHeight="1">
      <c r="A85" s="441"/>
      <c r="B85" s="431"/>
      <c r="C85" s="39" t="s">
        <v>1</v>
      </c>
      <c r="D85" s="120">
        <v>10454.88</v>
      </c>
      <c r="E85" s="173">
        <f t="shared" si="2"/>
        <v>10454.88</v>
      </c>
    </row>
    <row r="86" spans="1:5" s="24" customFormat="1" ht="13.5" customHeight="1">
      <c r="A86" s="441"/>
      <c r="B86" s="431"/>
      <c r="C86" s="39" t="s">
        <v>2</v>
      </c>
      <c r="D86" s="120">
        <v>8630.98</v>
      </c>
      <c r="E86" s="173">
        <f t="shared" si="2"/>
        <v>8630.98</v>
      </c>
    </row>
    <row r="87" spans="1:5" s="24" customFormat="1" ht="13.5" customHeight="1">
      <c r="A87" s="441"/>
      <c r="B87" s="431"/>
      <c r="C87" s="39" t="s">
        <v>4</v>
      </c>
      <c r="D87" s="112">
        <f>+D85</f>
        <v>10454.88</v>
      </c>
      <c r="E87" s="112">
        <f>+E85</f>
        <v>10454.88</v>
      </c>
    </row>
    <row r="88" spans="1:5" s="24" customFormat="1" ht="13.5" customHeight="1">
      <c r="A88" s="441"/>
      <c r="B88" s="431"/>
      <c r="C88" s="39" t="s">
        <v>3</v>
      </c>
      <c r="D88" s="112">
        <f>+D86</f>
        <v>8630.98</v>
      </c>
      <c r="E88" s="112">
        <f>+E86</f>
        <v>8630.98</v>
      </c>
    </row>
    <row r="89" spans="1:5" s="3" customFormat="1" ht="13.5" customHeight="1" thickBot="1">
      <c r="A89" s="442"/>
      <c r="B89" s="432"/>
      <c r="C89" s="40" t="s">
        <v>199</v>
      </c>
      <c r="D89" s="75">
        <f>D84+D85-D86</f>
        <v>3060.459999999999</v>
      </c>
      <c r="E89" s="174">
        <f t="shared" si="2"/>
        <v>3060.459999999999</v>
      </c>
    </row>
    <row r="90" spans="1:5" s="3" customFormat="1" ht="14.25" customHeight="1" hidden="1">
      <c r="A90" s="380" t="s">
        <v>17</v>
      </c>
      <c r="B90" s="513" t="s">
        <v>43</v>
      </c>
      <c r="C90" s="51" t="s">
        <v>156</v>
      </c>
      <c r="D90" s="90"/>
      <c r="E90" s="172">
        <f t="shared" si="2"/>
        <v>0</v>
      </c>
    </row>
    <row r="91" spans="1:5" s="3" customFormat="1" ht="13.5" customHeight="1" hidden="1">
      <c r="A91" s="492"/>
      <c r="B91" s="514"/>
      <c r="C91" s="39" t="s">
        <v>1</v>
      </c>
      <c r="D91" s="86"/>
      <c r="E91" s="173">
        <f t="shared" si="2"/>
        <v>0</v>
      </c>
    </row>
    <row r="92" spans="1:5" s="3" customFormat="1" ht="13.5" customHeight="1" hidden="1">
      <c r="A92" s="492"/>
      <c r="B92" s="514"/>
      <c r="C92" s="39" t="s">
        <v>2</v>
      </c>
      <c r="D92" s="86"/>
      <c r="E92" s="173">
        <f t="shared" si="2"/>
        <v>0</v>
      </c>
    </row>
    <row r="93" spans="1:5" s="3" customFormat="1" ht="13.5" customHeight="1" hidden="1">
      <c r="A93" s="492"/>
      <c r="B93" s="514"/>
      <c r="C93" s="39" t="s">
        <v>4</v>
      </c>
      <c r="D93" s="86"/>
      <c r="E93" s="173">
        <f t="shared" si="2"/>
        <v>0</v>
      </c>
    </row>
    <row r="94" spans="1:5" s="3" customFormat="1" ht="13.5" customHeight="1" hidden="1">
      <c r="A94" s="492"/>
      <c r="B94" s="514"/>
      <c r="C94" s="39" t="s">
        <v>3</v>
      </c>
      <c r="D94" s="110"/>
      <c r="E94" s="173">
        <f t="shared" si="2"/>
        <v>0</v>
      </c>
    </row>
    <row r="95" spans="1:5" s="3" customFormat="1" ht="13.5" customHeight="1" hidden="1" thickBot="1">
      <c r="A95" s="492"/>
      <c r="B95" s="515"/>
      <c r="C95" s="40" t="s">
        <v>160</v>
      </c>
      <c r="D95" s="110">
        <f>D90+D91-D92</f>
        <v>0</v>
      </c>
      <c r="E95" s="173">
        <f t="shared" si="2"/>
        <v>0</v>
      </c>
    </row>
    <row r="96" spans="1:5" s="3" customFormat="1" ht="13.5" customHeight="1" hidden="1">
      <c r="A96" s="492"/>
      <c r="B96" s="513" t="s">
        <v>18</v>
      </c>
      <c r="C96" s="51" t="s">
        <v>156</v>
      </c>
      <c r="D96" s="86"/>
      <c r="E96" s="173">
        <f t="shared" si="2"/>
        <v>0</v>
      </c>
    </row>
    <row r="97" spans="1:5" s="3" customFormat="1" ht="13.5" customHeight="1" hidden="1">
      <c r="A97" s="492"/>
      <c r="B97" s="514"/>
      <c r="C97" s="39" t="s">
        <v>1</v>
      </c>
      <c r="D97" s="86"/>
      <c r="E97" s="173">
        <f t="shared" si="2"/>
        <v>0</v>
      </c>
    </row>
    <row r="98" spans="1:5" s="3" customFormat="1" ht="13.5" customHeight="1" hidden="1">
      <c r="A98" s="492"/>
      <c r="B98" s="514"/>
      <c r="C98" s="39" t="s">
        <v>2</v>
      </c>
      <c r="D98" s="86"/>
      <c r="E98" s="173">
        <f t="shared" si="2"/>
        <v>0</v>
      </c>
    </row>
    <row r="99" spans="1:5" s="3" customFormat="1" ht="13.5" customHeight="1" hidden="1">
      <c r="A99" s="492"/>
      <c r="B99" s="514"/>
      <c r="C99" s="39" t="s">
        <v>4</v>
      </c>
      <c r="D99" s="86"/>
      <c r="E99" s="173">
        <f t="shared" si="2"/>
        <v>0</v>
      </c>
    </row>
    <row r="100" spans="1:5" s="3" customFormat="1" ht="13.5" customHeight="1" hidden="1">
      <c r="A100" s="492"/>
      <c r="B100" s="514"/>
      <c r="C100" s="39" t="s">
        <v>3</v>
      </c>
      <c r="D100" s="110"/>
      <c r="E100" s="173">
        <f t="shared" si="2"/>
        <v>0</v>
      </c>
    </row>
    <row r="101" spans="1:5" s="3" customFormat="1" ht="13.5" customHeight="1" hidden="1" thickBot="1">
      <c r="A101" s="492"/>
      <c r="B101" s="515"/>
      <c r="C101" s="40" t="s">
        <v>160</v>
      </c>
      <c r="D101" s="110">
        <f>D96+D97-D98</f>
        <v>0</v>
      </c>
      <c r="E101" s="173">
        <f t="shared" si="2"/>
        <v>0</v>
      </c>
    </row>
    <row r="102" spans="1:5" s="3" customFormat="1" ht="13.5" customHeight="1" hidden="1">
      <c r="A102" s="492"/>
      <c r="B102" s="513" t="s">
        <v>19</v>
      </c>
      <c r="C102" s="51" t="s">
        <v>156</v>
      </c>
      <c r="D102" s="86"/>
      <c r="E102" s="173">
        <f t="shared" si="2"/>
        <v>0</v>
      </c>
    </row>
    <row r="103" spans="1:5" s="3" customFormat="1" ht="13.5" customHeight="1" hidden="1">
      <c r="A103" s="492"/>
      <c r="B103" s="514"/>
      <c r="C103" s="39" t="s">
        <v>1</v>
      </c>
      <c r="D103" s="86"/>
      <c r="E103" s="173">
        <f t="shared" si="2"/>
        <v>0</v>
      </c>
    </row>
    <row r="104" spans="1:5" s="3" customFormat="1" ht="13.5" customHeight="1" hidden="1">
      <c r="A104" s="492"/>
      <c r="B104" s="514"/>
      <c r="C104" s="39" t="s">
        <v>2</v>
      </c>
      <c r="D104" s="86"/>
      <c r="E104" s="173">
        <f t="shared" si="2"/>
        <v>0</v>
      </c>
    </row>
    <row r="105" spans="1:5" s="3" customFormat="1" ht="13.5" customHeight="1" hidden="1">
      <c r="A105" s="492"/>
      <c r="B105" s="514"/>
      <c r="C105" s="39" t="s">
        <v>4</v>
      </c>
      <c r="D105" s="86"/>
      <c r="E105" s="173">
        <f t="shared" si="2"/>
        <v>0</v>
      </c>
    </row>
    <row r="106" spans="1:5" s="3" customFormat="1" ht="13.5" customHeight="1" hidden="1">
      <c r="A106" s="492"/>
      <c r="B106" s="514"/>
      <c r="C106" s="39" t="s">
        <v>3</v>
      </c>
      <c r="D106" s="110"/>
      <c r="E106" s="173">
        <f t="shared" si="2"/>
        <v>0</v>
      </c>
    </row>
    <row r="107" spans="1:5" s="3" customFormat="1" ht="13.5" customHeight="1" hidden="1" thickBot="1">
      <c r="A107" s="492"/>
      <c r="B107" s="515"/>
      <c r="C107" s="40" t="s">
        <v>160</v>
      </c>
      <c r="D107" s="114">
        <f>D102+D103-D104</f>
        <v>0</v>
      </c>
      <c r="E107" s="173">
        <f t="shared" si="2"/>
        <v>0</v>
      </c>
    </row>
    <row r="108" spans="1:5" s="24" customFormat="1" ht="13.5" customHeight="1" thickBot="1">
      <c r="A108" s="492"/>
      <c r="B108" s="439" t="s">
        <v>16</v>
      </c>
      <c r="C108" s="51" t="s">
        <v>175</v>
      </c>
      <c r="D108" s="177">
        <v>8306.94</v>
      </c>
      <c r="E108" s="173">
        <f t="shared" si="2"/>
        <v>8306.94</v>
      </c>
    </row>
    <row r="109" spans="1:5" s="24" customFormat="1" ht="13.5" thickBot="1">
      <c r="A109" s="492"/>
      <c r="B109" s="439"/>
      <c r="C109" s="39" t="s">
        <v>1</v>
      </c>
      <c r="D109" s="177">
        <v>40145.69</v>
      </c>
      <c r="E109" s="173">
        <f t="shared" si="2"/>
        <v>40145.69</v>
      </c>
    </row>
    <row r="110" spans="1:5" s="24" customFormat="1" ht="13.5" thickBot="1">
      <c r="A110" s="492"/>
      <c r="B110" s="439"/>
      <c r="C110" s="39" t="s">
        <v>2</v>
      </c>
      <c r="D110" s="177">
        <v>30911.68</v>
      </c>
      <c r="E110" s="173">
        <f t="shared" si="2"/>
        <v>30911.68</v>
      </c>
    </row>
    <row r="111" spans="1:5" s="24" customFormat="1" ht="13.5" thickBot="1">
      <c r="A111" s="492"/>
      <c r="B111" s="439"/>
      <c r="C111" s="39" t="s">
        <v>4</v>
      </c>
      <c r="D111" s="216">
        <f>+D109</f>
        <v>40145.69</v>
      </c>
      <c r="E111" s="216">
        <f>+E109</f>
        <v>40145.69</v>
      </c>
    </row>
    <row r="112" spans="1:5" s="24" customFormat="1" ht="13.5" thickBot="1">
      <c r="A112" s="492"/>
      <c r="B112" s="439"/>
      <c r="C112" s="39" t="s">
        <v>3</v>
      </c>
      <c r="D112" s="177">
        <f>+D110</f>
        <v>30911.68</v>
      </c>
      <c r="E112" s="177">
        <f>+E110</f>
        <v>30911.68</v>
      </c>
    </row>
    <row r="113" spans="1:5" s="3" customFormat="1" ht="13.5" thickBot="1">
      <c r="A113" s="512"/>
      <c r="B113" s="440"/>
      <c r="C113" s="40" t="s">
        <v>199</v>
      </c>
      <c r="D113" s="75">
        <f>D108+D109-D110</f>
        <v>17540.950000000004</v>
      </c>
      <c r="E113" s="175">
        <f t="shared" si="2"/>
        <v>17540.950000000004</v>
      </c>
    </row>
    <row r="114" spans="1:5" ht="13.5" customHeight="1" thickBot="1">
      <c r="A114" s="398" t="s">
        <v>188</v>
      </c>
      <c r="B114" s="399"/>
      <c r="C114" s="400"/>
      <c r="D114" s="117"/>
      <c r="E114" s="169"/>
    </row>
    <row r="115" spans="1:6" ht="12.75" customHeight="1">
      <c r="A115" s="516"/>
      <c r="B115" s="517"/>
      <c r="C115" s="341" t="s">
        <v>175</v>
      </c>
      <c r="D115" s="122">
        <f>D6+D12+D18+D36+D42+D48+D54+D60+D78+D84+D108</f>
        <v>187149.97</v>
      </c>
      <c r="E115" s="122">
        <f>E6+E12+E18+E36+E42+E48+E54+E60+E78+E84+E108</f>
        <v>187149.97</v>
      </c>
      <c r="F115" s="43"/>
    </row>
    <row r="116" spans="1:5" ht="12.75">
      <c r="A116" s="503"/>
      <c r="B116" s="504"/>
      <c r="C116" s="342" t="s">
        <v>1</v>
      </c>
      <c r="D116" s="122">
        <f aca="true" t="shared" si="3" ref="D116:E120">D7+D13+D19+D37+D43+D49+D55+D61+D79+D85+D109</f>
        <v>1030698.3599999999</v>
      </c>
      <c r="E116" s="122">
        <f t="shared" si="3"/>
        <v>1030698.3599999999</v>
      </c>
    </row>
    <row r="117" spans="1:5" ht="12.75">
      <c r="A117" s="503"/>
      <c r="B117" s="504"/>
      <c r="C117" s="342" t="s">
        <v>2</v>
      </c>
      <c r="D117" s="122">
        <f t="shared" si="3"/>
        <v>683376.63</v>
      </c>
      <c r="E117" s="122">
        <f t="shared" si="3"/>
        <v>683376.63</v>
      </c>
    </row>
    <row r="118" spans="1:5" ht="12.75">
      <c r="A118" s="503"/>
      <c r="B118" s="504"/>
      <c r="C118" s="342" t="s">
        <v>4</v>
      </c>
      <c r="D118" s="122">
        <f t="shared" si="3"/>
        <v>905871.3199999998</v>
      </c>
      <c r="E118" s="122">
        <f t="shared" si="3"/>
        <v>1030698.3599999999</v>
      </c>
    </row>
    <row r="119" spans="1:5" ht="12.75">
      <c r="A119" s="503"/>
      <c r="B119" s="504"/>
      <c r="C119" s="342" t="s">
        <v>3</v>
      </c>
      <c r="D119" s="122">
        <f t="shared" si="3"/>
        <v>683376.63</v>
      </c>
      <c r="E119" s="122">
        <f t="shared" si="3"/>
        <v>683376.63</v>
      </c>
    </row>
    <row r="120" spans="1:5" s="4" customFormat="1" ht="13.5" thickBot="1">
      <c r="A120" s="505"/>
      <c r="B120" s="506"/>
      <c r="C120" s="346" t="s">
        <v>199</v>
      </c>
      <c r="D120" s="123">
        <f t="shared" si="3"/>
        <v>534471.7</v>
      </c>
      <c r="E120" s="123">
        <f t="shared" si="3"/>
        <v>534471.7</v>
      </c>
    </row>
    <row r="121" spans="1:5" s="4" customFormat="1" ht="13.5" customHeight="1" thickBot="1">
      <c r="A121" s="449" t="s">
        <v>172</v>
      </c>
      <c r="B121" s="429" t="s">
        <v>43</v>
      </c>
      <c r="C121" s="51" t="s">
        <v>175</v>
      </c>
      <c r="D121" s="176">
        <v>36548.86</v>
      </c>
      <c r="E121" s="176">
        <f>D121</f>
        <v>36548.86</v>
      </c>
    </row>
    <row r="122" spans="1:5" s="4" customFormat="1" ht="13.5" thickBot="1">
      <c r="A122" s="447"/>
      <c r="B122" s="429"/>
      <c r="C122" s="39" t="s">
        <v>1</v>
      </c>
      <c r="D122" s="177">
        <v>177684.25</v>
      </c>
      <c r="E122" s="177">
        <f>D122</f>
        <v>177684.25</v>
      </c>
    </row>
    <row r="123" spans="1:5" s="4" customFormat="1" ht="13.5" thickBot="1">
      <c r="A123" s="447"/>
      <c r="B123" s="429"/>
      <c r="C123" s="39" t="s">
        <v>2</v>
      </c>
      <c r="D123" s="177">
        <v>136669.7</v>
      </c>
      <c r="E123" s="177">
        <f aca="true" t="shared" si="4" ref="E123:E186">D123</f>
        <v>136669.7</v>
      </c>
    </row>
    <row r="124" spans="1:5" s="4" customFormat="1" ht="13.5" thickBot="1">
      <c r="A124" s="447"/>
      <c r="B124" s="429"/>
      <c r="C124" s="39" t="s">
        <v>4</v>
      </c>
      <c r="D124" s="218">
        <v>245046.83</v>
      </c>
      <c r="E124" s="322">
        <f t="shared" si="4"/>
        <v>245046.83</v>
      </c>
    </row>
    <row r="125" spans="1:5" s="4" customFormat="1" ht="13.5" thickBot="1">
      <c r="A125" s="447"/>
      <c r="B125" s="429"/>
      <c r="C125" s="39" t="s">
        <v>3</v>
      </c>
      <c r="D125" s="177">
        <f>D123</f>
        <v>136669.7</v>
      </c>
      <c r="E125" s="177">
        <f>+E123</f>
        <v>136669.7</v>
      </c>
    </row>
    <row r="126" spans="1:5" s="3" customFormat="1" ht="13.5" thickBot="1">
      <c r="A126" s="447"/>
      <c r="B126" s="429"/>
      <c r="C126" s="40" t="s">
        <v>199</v>
      </c>
      <c r="D126" s="75">
        <f>D121+D122-D123</f>
        <v>77563.40999999997</v>
      </c>
      <c r="E126" s="178">
        <f t="shared" si="4"/>
        <v>77563.40999999997</v>
      </c>
    </row>
    <row r="127" spans="1:5" s="4" customFormat="1" ht="13.5" thickBot="1">
      <c r="A127" s="447"/>
      <c r="B127" s="429" t="s">
        <v>18</v>
      </c>
      <c r="C127" s="51" t="s">
        <v>175</v>
      </c>
      <c r="D127" s="177">
        <v>7587.14</v>
      </c>
      <c r="E127" s="176">
        <f t="shared" si="4"/>
        <v>7587.14</v>
      </c>
    </row>
    <row r="128" spans="1:5" s="4" customFormat="1" ht="13.5" thickBot="1">
      <c r="A128" s="447"/>
      <c r="B128" s="429"/>
      <c r="C128" s="39" t="s">
        <v>1</v>
      </c>
      <c r="D128" s="177">
        <v>36667.32</v>
      </c>
      <c r="E128" s="177">
        <f t="shared" si="4"/>
        <v>36667.32</v>
      </c>
    </row>
    <row r="129" spans="1:5" s="4" customFormat="1" ht="13.5" thickBot="1">
      <c r="A129" s="447"/>
      <c r="B129" s="429"/>
      <c r="C129" s="39" t="s">
        <v>2</v>
      </c>
      <c r="D129" s="177">
        <v>28233.27</v>
      </c>
      <c r="E129" s="177">
        <f t="shared" si="4"/>
        <v>28233.27</v>
      </c>
    </row>
    <row r="130" spans="1:5" s="4" customFormat="1" ht="13.5" thickBot="1">
      <c r="A130" s="447"/>
      <c r="B130" s="429"/>
      <c r="C130" s="39" t="s">
        <v>4</v>
      </c>
      <c r="D130" s="216">
        <f>+D128</f>
        <v>36667.32</v>
      </c>
      <c r="E130" s="216">
        <f>+E128</f>
        <v>36667.32</v>
      </c>
    </row>
    <row r="131" spans="1:5" s="4" customFormat="1" ht="13.5" thickBot="1">
      <c r="A131" s="447"/>
      <c r="B131" s="429"/>
      <c r="C131" s="39" t="s">
        <v>3</v>
      </c>
      <c r="D131" s="177">
        <f>+D129</f>
        <v>28233.27</v>
      </c>
      <c r="E131" s="177">
        <f>+E129</f>
        <v>28233.27</v>
      </c>
    </row>
    <row r="132" spans="1:5" s="3" customFormat="1" ht="13.5" thickBot="1">
      <c r="A132" s="447"/>
      <c r="B132" s="429"/>
      <c r="C132" s="40" t="s">
        <v>199</v>
      </c>
      <c r="D132" s="159">
        <f>D127+D128-D129</f>
        <v>16021.189999999999</v>
      </c>
      <c r="E132" s="178">
        <f t="shared" si="4"/>
        <v>16021.189999999999</v>
      </c>
    </row>
    <row r="133" spans="1:5" s="4" customFormat="1" ht="13.5" thickBot="1">
      <c r="A133" s="447"/>
      <c r="B133" s="429" t="s">
        <v>19</v>
      </c>
      <c r="C133" s="51" t="s">
        <v>175</v>
      </c>
      <c r="D133" s="179">
        <v>8786.7</v>
      </c>
      <c r="E133" s="179">
        <f t="shared" si="4"/>
        <v>8786.7</v>
      </c>
    </row>
    <row r="134" spans="1:7" s="4" customFormat="1" ht="13.5" thickBot="1">
      <c r="A134" s="447"/>
      <c r="B134" s="429"/>
      <c r="C134" s="39" t="s">
        <v>1</v>
      </c>
      <c r="D134" s="177">
        <v>42464.4</v>
      </c>
      <c r="E134" s="177">
        <f t="shared" si="4"/>
        <v>42464.4</v>
      </c>
      <c r="G134" s="44"/>
    </row>
    <row r="135" spans="1:5" s="4" customFormat="1" ht="13.5" thickBot="1">
      <c r="A135" s="447"/>
      <c r="B135" s="429"/>
      <c r="C135" s="39" t="s">
        <v>2</v>
      </c>
      <c r="D135" s="177">
        <v>32696.95</v>
      </c>
      <c r="E135" s="177">
        <f t="shared" si="4"/>
        <v>32696.95</v>
      </c>
    </row>
    <row r="136" spans="1:5" s="4" customFormat="1" ht="13.5" thickBot="1">
      <c r="A136" s="447"/>
      <c r="B136" s="429"/>
      <c r="C136" s="39" t="s">
        <v>4</v>
      </c>
      <c r="D136" s="216">
        <f>+D134</f>
        <v>42464.4</v>
      </c>
      <c r="E136" s="216">
        <f>+E134</f>
        <v>42464.4</v>
      </c>
    </row>
    <row r="137" spans="1:5" s="4" customFormat="1" ht="13.5" thickBot="1">
      <c r="A137" s="447"/>
      <c r="B137" s="429"/>
      <c r="C137" s="39" t="s">
        <v>3</v>
      </c>
      <c r="D137" s="177">
        <f>+D135</f>
        <v>32696.95</v>
      </c>
      <c r="E137" s="177">
        <f>+E135</f>
        <v>32696.95</v>
      </c>
    </row>
    <row r="138" spans="1:5" s="3" customFormat="1" ht="13.5" thickBot="1">
      <c r="A138" s="447"/>
      <c r="B138" s="429"/>
      <c r="C138" s="40" t="s">
        <v>199</v>
      </c>
      <c r="D138" s="75">
        <f>D133+D134-D135</f>
        <v>18554.150000000005</v>
      </c>
      <c r="E138" s="178">
        <f t="shared" si="4"/>
        <v>18554.150000000005</v>
      </c>
    </row>
    <row r="139" spans="1:5" s="4" customFormat="1" ht="13.5" customHeight="1" hidden="1">
      <c r="A139" s="447"/>
      <c r="B139" s="430" t="s">
        <v>115</v>
      </c>
      <c r="C139" s="51" t="s">
        <v>156</v>
      </c>
      <c r="D139" s="162"/>
      <c r="E139" s="179">
        <f t="shared" si="4"/>
        <v>0</v>
      </c>
    </row>
    <row r="140" spans="1:5" s="4" customFormat="1" ht="13.5" customHeight="1" hidden="1" thickBot="1">
      <c r="A140" s="447"/>
      <c r="B140" s="431"/>
      <c r="C140" s="39" t="s">
        <v>1</v>
      </c>
      <c r="D140" s="120"/>
      <c r="E140" s="177">
        <f t="shared" si="4"/>
        <v>0</v>
      </c>
    </row>
    <row r="141" spans="1:5" s="4" customFormat="1" ht="13.5" customHeight="1" hidden="1" thickBot="1">
      <c r="A141" s="447"/>
      <c r="B141" s="431"/>
      <c r="C141" s="39" t="s">
        <v>2</v>
      </c>
      <c r="D141" s="120"/>
      <c r="E141" s="177">
        <f t="shared" si="4"/>
        <v>0</v>
      </c>
    </row>
    <row r="142" spans="1:5" s="4" customFormat="1" ht="13.5" customHeight="1" hidden="1" thickBot="1">
      <c r="A142" s="447"/>
      <c r="B142" s="431"/>
      <c r="C142" s="39" t="s">
        <v>4</v>
      </c>
      <c r="D142" s="112"/>
      <c r="E142" s="177">
        <f t="shared" si="4"/>
        <v>0</v>
      </c>
    </row>
    <row r="143" spans="1:5" s="4" customFormat="1" ht="13.5" customHeight="1" hidden="1" thickBot="1">
      <c r="A143" s="447"/>
      <c r="B143" s="431"/>
      <c r="C143" s="39" t="s">
        <v>3</v>
      </c>
      <c r="D143" s="112"/>
      <c r="E143" s="177">
        <f t="shared" si="4"/>
        <v>0</v>
      </c>
    </row>
    <row r="144" spans="1:5" s="3" customFormat="1" ht="13.5" customHeight="1" hidden="1" thickBot="1">
      <c r="A144" s="448"/>
      <c r="B144" s="432"/>
      <c r="C144" s="40" t="s">
        <v>160</v>
      </c>
      <c r="D144" s="110">
        <f>D139+D140-D141</f>
        <v>0</v>
      </c>
      <c r="E144" s="177">
        <f t="shared" si="4"/>
        <v>0</v>
      </c>
    </row>
    <row r="145" spans="1:5" s="4" customFormat="1" ht="13.5" customHeight="1" hidden="1" thickBot="1">
      <c r="A145" s="434" t="s">
        <v>100</v>
      </c>
      <c r="B145" s="429" t="s">
        <v>43</v>
      </c>
      <c r="C145" s="51" t="s">
        <v>156</v>
      </c>
      <c r="D145" s="120">
        <v>228168.85</v>
      </c>
      <c r="E145" s="177">
        <f t="shared" si="4"/>
        <v>228168.85</v>
      </c>
    </row>
    <row r="146" spans="1:5" s="4" customFormat="1" ht="13.5" customHeight="1" hidden="1" thickBot="1">
      <c r="A146" s="433"/>
      <c r="B146" s="429"/>
      <c r="C146" s="39" t="s">
        <v>1</v>
      </c>
      <c r="D146" s="120">
        <v>220708.35</v>
      </c>
      <c r="E146" s="177">
        <f t="shared" si="4"/>
        <v>220708.35</v>
      </c>
    </row>
    <row r="147" spans="1:5" s="4" customFormat="1" ht="13.5" customHeight="1" hidden="1" thickBot="1">
      <c r="A147" s="433"/>
      <c r="B147" s="429"/>
      <c r="C147" s="39" t="s">
        <v>2</v>
      </c>
      <c r="D147" s="120">
        <v>79102.4</v>
      </c>
      <c r="E147" s="177">
        <f t="shared" si="4"/>
        <v>79102.4</v>
      </c>
    </row>
    <row r="148" spans="1:5" s="4" customFormat="1" ht="13.5" customHeight="1" hidden="1" thickBot="1">
      <c r="A148" s="433"/>
      <c r="B148" s="429"/>
      <c r="C148" s="39" t="s">
        <v>4</v>
      </c>
      <c r="D148" s="182">
        <v>19684.69</v>
      </c>
      <c r="E148" s="177">
        <f t="shared" si="4"/>
        <v>19684.69</v>
      </c>
    </row>
    <row r="149" spans="1:5" s="4" customFormat="1" ht="13.5" customHeight="1" hidden="1" thickBot="1">
      <c r="A149" s="433"/>
      <c r="B149" s="429"/>
      <c r="C149" s="39" t="s">
        <v>3</v>
      </c>
      <c r="D149" s="161">
        <f>D148</f>
        <v>19684.69</v>
      </c>
      <c r="E149" s="177">
        <f t="shared" si="4"/>
        <v>19684.69</v>
      </c>
    </row>
    <row r="150" spans="1:5" s="3" customFormat="1" ht="13.5" customHeight="1" hidden="1" thickBot="1">
      <c r="A150" s="433"/>
      <c r="B150" s="429"/>
      <c r="C150" s="40" t="s">
        <v>160</v>
      </c>
      <c r="D150" s="110">
        <f>D145+D146-D147</f>
        <v>369774.80000000005</v>
      </c>
      <c r="E150" s="177">
        <f t="shared" si="4"/>
        <v>369774.80000000005</v>
      </c>
    </row>
    <row r="151" spans="1:5" s="4" customFormat="1" ht="13.5" customHeight="1" hidden="1" thickBot="1">
      <c r="A151" s="433"/>
      <c r="B151" s="429" t="s">
        <v>18</v>
      </c>
      <c r="C151" s="51" t="s">
        <v>156</v>
      </c>
      <c r="D151" s="120">
        <v>56057.65</v>
      </c>
      <c r="E151" s="177">
        <f t="shared" si="4"/>
        <v>56057.65</v>
      </c>
    </row>
    <row r="152" spans="1:5" s="4" customFormat="1" ht="13.5" customHeight="1" hidden="1" thickBot="1">
      <c r="A152" s="433"/>
      <c r="B152" s="429"/>
      <c r="C152" s="39" t="s">
        <v>1</v>
      </c>
      <c r="D152" s="120">
        <v>47627.65</v>
      </c>
      <c r="E152" s="177">
        <f t="shared" si="4"/>
        <v>47627.65</v>
      </c>
    </row>
    <row r="153" spans="1:5" s="4" customFormat="1" ht="13.5" customHeight="1" hidden="1" thickBot="1">
      <c r="A153" s="433"/>
      <c r="B153" s="429"/>
      <c r="C153" s="39" t="s">
        <v>2</v>
      </c>
      <c r="D153" s="120">
        <v>19321.57</v>
      </c>
      <c r="E153" s="177">
        <f t="shared" si="4"/>
        <v>19321.57</v>
      </c>
    </row>
    <row r="154" spans="1:5" s="4" customFormat="1" ht="13.5" customHeight="1" hidden="1" thickBot="1">
      <c r="A154" s="433"/>
      <c r="B154" s="429"/>
      <c r="C154" s="39" t="s">
        <v>4</v>
      </c>
      <c r="D154" s="112">
        <f>D152</f>
        <v>47627.65</v>
      </c>
      <c r="E154" s="177">
        <f t="shared" si="4"/>
        <v>47627.65</v>
      </c>
    </row>
    <row r="155" spans="1:5" s="4" customFormat="1" ht="13.5" customHeight="1" hidden="1" thickBot="1">
      <c r="A155" s="433"/>
      <c r="B155" s="429"/>
      <c r="C155" s="39" t="s">
        <v>3</v>
      </c>
      <c r="D155" s="112">
        <f>D154</f>
        <v>47627.65</v>
      </c>
      <c r="E155" s="177">
        <f t="shared" si="4"/>
        <v>47627.65</v>
      </c>
    </row>
    <row r="156" spans="1:5" s="3" customFormat="1" ht="13.5" customHeight="1" hidden="1" thickBot="1">
      <c r="A156" s="433"/>
      <c r="B156" s="429"/>
      <c r="C156" s="40" t="s">
        <v>160</v>
      </c>
      <c r="D156" s="110">
        <f>D151+D152-D153</f>
        <v>84363.73000000001</v>
      </c>
      <c r="E156" s="177">
        <f t="shared" si="4"/>
        <v>84363.73000000001</v>
      </c>
    </row>
    <row r="157" spans="1:5" s="4" customFormat="1" ht="13.5" customHeight="1" hidden="1" thickBot="1">
      <c r="A157" s="433"/>
      <c r="B157" s="429" t="s">
        <v>19</v>
      </c>
      <c r="C157" s="51" t="s">
        <v>156</v>
      </c>
      <c r="D157" s="120">
        <v>65950.92</v>
      </c>
      <c r="E157" s="177">
        <f t="shared" si="4"/>
        <v>65950.92</v>
      </c>
    </row>
    <row r="158" spans="1:5" s="4" customFormat="1" ht="13.5" customHeight="1" hidden="1" thickBot="1">
      <c r="A158" s="433"/>
      <c r="B158" s="429"/>
      <c r="C158" s="39" t="s">
        <v>1</v>
      </c>
      <c r="D158" s="120">
        <v>56033.1</v>
      </c>
      <c r="E158" s="177">
        <f t="shared" si="4"/>
        <v>56033.1</v>
      </c>
    </row>
    <row r="159" spans="1:5" s="4" customFormat="1" ht="13.5" customHeight="1" hidden="1" thickBot="1">
      <c r="A159" s="433"/>
      <c r="B159" s="429"/>
      <c r="C159" s="39" t="s">
        <v>2</v>
      </c>
      <c r="D159" s="120">
        <v>22731.59</v>
      </c>
      <c r="E159" s="177">
        <f t="shared" si="4"/>
        <v>22731.59</v>
      </c>
    </row>
    <row r="160" spans="1:5" s="4" customFormat="1" ht="15" customHeight="1" hidden="1" thickBot="1">
      <c r="A160" s="433"/>
      <c r="B160" s="429"/>
      <c r="C160" s="39" t="s">
        <v>4</v>
      </c>
      <c r="D160" s="112">
        <f>D158</f>
        <v>56033.1</v>
      </c>
      <c r="E160" s="177">
        <f t="shared" si="4"/>
        <v>56033.1</v>
      </c>
    </row>
    <row r="161" spans="1:5" s="4" customFormat="1" ht="13.5" customHeight="1" hidden="1" thickBot="1">
      <c r="A161" s="433"/>
      <c r="B161" s="429"/>
      <c r="C161" s="39" t="s">
        <v>3</v>
      </c>
      <c r="D161" s="112">
        <f>D160</f>
        <v>56033.1</v>
      </c>
      <c r="E161" s="177">
        <f t="shared" si="4"/>
        <v>56033.1</v>
      </c>
    </row>
    <row r="162" spans="1:5" s="3" customFormat="1" ht="13.5" customHeight="1" hidden="1" thickBot="1">
      <c r="A162" s="433"/>
      <c r="B162" s="429"/>
      <c r="C162" s="40" t="s">
        <v>160</v>
      </c>
      <c r="D162" s="110">
        <f>D157+D158-D159</f>
        <v>99252.43</v>
      </c>
      <c r="E162" s="177">
        <f t="shared" si="4"/>
        <v>99252.43</v>
      </c>
    </row>
    <row r="163" spans="1:5" s="24" customFormat="1" ht="12.75" customHeight="1" hidden="1">
      <c r="A163" s="433"/>
      <c r="B163" s="429" t="s">
        <v>40</v>
      </c>
      <c r="C163" s="51" t="s">
        <v>156</v>
      </c>
      <c r="D163" s="112"/>
      <c r="E163" s="177">
        <f t="shared" si="4"/>
        <v>0</v>
      </c>
    </row>
    <row r="164" spans="1:5" s="24" customFormat="1" ht="13.5" customHeight="1" hidden="1">
      <c r="A164" s="433"/>
      <c r="B164" s="429"/>
      <c r="C164" s="39" t="s">
        <v>1</v>
      </c>
      <c r="D164" s="112"/>
      <c r="E164" s="177">
        <f t="shared" si="4"/>
        <v>0</v>
      </c>
    </row>
    <row r="165" spans="1:5" s="24" customFormat="1" ht="13.5" customHeight="1" hidden="1">
      <c r="A165" s="433"/>
      <c r="B165" s="429"/>
      <c r="C165" s="39" t="s">
        <v>2</v>
      </c>
      <c r="D165" s="112"/>
      <c r="E165" s="177">
        <f t="shared" si="4"/>
        <v>0</v>
      </c>
    </row>
    <row r="166" spans="1:5" s="24" customFormat="1" ht="13.5" customHeight="1" hidden="1">
      <c r="A166" s="433"/>
      <c r="B166" s="429"/>
      <c r="C166" s="39" t="s">
        <v>4</v>
      </c>
      <c r="D166" s="112"/>
      <c r="E166" s="177">
        <f t="shared" si="4"/>
        <v>0</v>
      </c>
    </row>
    <row r="167" spans="1:5" s="24" customFormat="1" ht="13.5" customHeight="1" hidden="1">
      <c r="A167" s="433"/>
      <c r="B167" s="429"/>
      <c r="C167" s="39" t="s">
        <v>3</v>
      </c>
      <c r="D167" s="112"/>
      <c r="E167" s="177">
        <f t="shared" si="4"/>
        <v>0</v>
      </c>
    </row>
    <row r="168" spans="1:5" s="3" customFormat="1" ht="13.5" customHeight="1" hidden="1">
      <c r="A168" s="433"/>
      <c r="B168" s="429"/>
      <c r="C168" s="40" t="s">
        <v>160</v>
      </c>
      <c r="D168" s="110">
        <f>D163+D164-D165</f>
        <v>0</v>
      </c>
      <c r="E168" s="177">
        <f t="shared" si="4"/>
        <v>0</v>
      </c>
    </row>
    <row r="169" spans="1:5" s="24" customFormat="1" ht="13.5" customHeight="1" hidden="1">
      <c r="A169" s="433"/>
      <c r="B169" s="429" t="s">
        <v>18</v>
      </c>
      <c r="C169" s="51" t="s">
        <v>156</v>
      </c>
      <c r="D169" s="112"/>
      <c r="E169" s="177">
        <f t="shared" si="4"/>
        <v>0</v>
      </c>
    </row>
    <row r="170" spans="1:5" s="24" customFormat="1" ht="13.5" customHeight="1" hidden="1">
      <c r="A170" s="433"/>
      <c r="B170" s="429"/>
      <c r="C170" s="39" t="s">
        <v>1</v>
      </c>
      <c r="D170" s="112"/>
      <c r="E170" s="177">
        <f t="shared" si="4"/>
        <v>0</v>
      </c>
    </row>
    <row r="171" spans="1:5" s="24" customFormat="1" ht="13.5" customHeight="1" hidden="1">
      <c r="A171" s="433"/>
      <c r="B171" s="429"/>
      <c r="C171" s="39" t="s">
        <v>2</v>
      </c>
      <c r="D171" s="112"/>
      <c r="E171" s="177">
        <f t="shared" si="4"/>
        <v>0</v>
      </c>
    </row>
    <row r="172" spans="1:5" s="24" customFormat="1" ht="13.5" customHeight="1" hidden="1">
      <c r="A172" s="433"/>
      <c r="B172" s="429"/>
      <c r="C172" s="39" t="s">
        <v>4</v>
      </c>
      <c r="D172" s="112"/>
      <c r="E172" s="177">
        <f t="shared" si="4"/>
        <v>0</v>
      </c>
    </row>
    <row r="173" spans="1:5" s="24" customFormat="1" ht="13.5" customHeight="1" hidden="1">
      <c r="A173" s="433"/>
      <c r="B173" s="429"/>
      <c r="C173" s="39" t="s">
        <v>3</v>
      </c>
      <c r="D173" s="112"/>
      <c r="E173" s="177">
        <f t="shared" si="4"/>
        <v>0</v>
      </c>
    </row>
    <row r="174" spans="1:5" s="3" customFormat="1" ht="13.5" customHeight="1" hidden="1">
      <c r="A174" s="433"/>
      <c r="B174" s="429"/>
      <c r="C174" s="40" t="s">
        <v>160</v>
      </c>
      <c r="D174" s="110">
        <f>D169+D170-D171</f>
        <v>0</v>
      </c>
      <c r="E174" s="177">
        <f t="shared" si="4"/>
        <v>0</v>
      </c>
    </row>
    <row r="175" spans="1:5" s="24" customFormat="1" ht="13.5" customHeight="1" hidden="1">
      <c r="A175" s="433"/>
      <c r="B175" s="429" t="s">
        <v>19</v>
      </c>
      <c r="C175" s="51" t="s">
        <v>156</v>
      </c>
      <c r="D175" s="112"/>
      <c r="E175" s="177">
        <f t="shared" si="4"/>
        <v>0</v>
      </c>
    </row>
    <row r="176" spans="1:5" s="24" customFormat="1" ht="13.5" customHeight="1" hidden="1">
      <c r="A176" s="433"/>
      <c r="B176" s="429"/>
      <c r="C176" s="39" t="s">
        <v>1</v>
      </c>
      <c r="D176" s="112"/>
      <c r="E176" s="177">
        <f t="shared" si="4"/>
        <v>0</v>
      </c>
    </row>
    <row r="177" spans="1:5" s="24" customFormat="1" ht="13.5" customHeight="1" hidden="1">
      <c r="A177" s="433"/>
      <c r="B177" s="429"/>
      <c r="C177" s="39" t="s">
        <v>2</v>
      </c>
      <c r="D177" s="112"/>
      <c r="E177" s="177">
        <f t="shared" si="4"/>
        <v>0</v>
      </c>
    </row>
    <row r="178" spans="1:5" s="24" customFormat="1" ht="13.5" customHeight="1" hidden="1">
      <c r="A178" s="433"/>
      <c r="B178" s="429"/>
      <c r="C178" s="39" t="s">
        <v>4</v>
      </c>
      <c r="D178" s="112"/>
      <c r="E178" s="177">
        <f t="shared" si="4"/>
        <v>0</v>
      </c>
    </row>
    <row r="179" spans="1:5" s="24" customFormat="1" ht="13.5" customHeight="1" hidden="1">
      <c r="A179" s="433"/>
      <c r="B179" s="429"/>
      <c r="C179" s="39" t="s">
        <v>3</v>
      </c>
      <c r="D179" s="112"/>
      <c r="E179" s="177">
        <f t="shared" si="4"/>
        <v>0</v>
      </c>
    </row>
    <row r="180" spans="1:5" s="3" customFormat="1" ht="13.5" customHeight="1" hidden="1">
      <c r="A180" s="435"/>
      <c r="B180" s="429"/>
      <c r="C180" s="40" t="s">
        <v>160</v>
      </c>
      <c r="D180" s="110">
        <f>D175+D176-D177</f>
        <v>0</v>
      </c>
      <c r="E180" s="177">
        <f t="shared" si="4"/>
        <v>0</v>
      </c>
    </row>
    <row r="181" spans="1:5" s="24" customFormat="1" ht="13.5" customHeight="1" hidden="1" thickBot="1">
      <c r="A181" s="428" t="s">
        <v>20</v>
      </c>
      <c r="B181" s="429" t="s">
        <v>21</v>
      </c>
      <c r="C181" s="51" t="s">
        <v>156</v>
      </c>
      <c r="D181" s="112"/>
      <c r="E181" s="177">
        <f t="shared" si="4"/>
        <v>0</v>
      </c>
    </row>
    <row r="182" spans="1:5" s="24" customFormat="1" ht="13.5" customHeight="1" hidden="1" thickBot="1">
      <c r="A182" s="428"/>
      <c r="B182" s="429"/>
      <c r="C182" s="39" t="s">
        <v>1</v>
      </c>
      <c r="D182" s="112"/>
      <c r="E182" s="177">
        <f t="shared" si="4"/>
        <v>0</v>
      </c>
    </row>
    <row r="183" spans="1:5" s="24" customFormat="1" ht="13.5" customHeight="1" hidden="1" thickBot="1">
      <c r="A183" s="428"/>
      <c r="B183" s="429"/>
      <c r="C183" s="39" t="s">
        <v>2</v>
      </c>
      <c r="D183" s="112"/>
      <c r="E183" s="177">
        <f t="shared" si="4"/>
        <v>0</v>
      </c>
    </row>
    <row r="184" spans="1:5" s="24" customFormat="1" ht="13.5" customHeight="1" hidden="1" thickBot="1">
      <c r="A184" s="428"/>
      <c r="B184" s="429"/>
      <c r="C184" s="39" t="s">
        <v>4</v>
      </c>
      <c r="D184" s="112"/>
      <c r="E184" s="177">
        <f t="shared" si="4"/>
        <v>0</v>
      </c>
    </row>
    <row r="185" spans="1:5" s="24" customFormat="1" ht="13.5" customHeight="1" hidden="1" thickBot="1">
      <c r="A185" s="428"/>
      <c r="B185" s="429"/>
      <c r="C185" s="39" t="s">
        <v>3</v>
      </c>
      <c r="D185" s="112"/>
      <c r="E185" s="177">
        <f t="shared" si="4"/>
        <v>0</v>
      </c>
    </row>
    <row r="186" spans="1:5" s="3" customFormat="1" ht="13.5" customHeight="1" hidden="1" thickBot="1">
      <c r="A186" s="428"/>
      <c r="B186" s="429"/>
      <c r="C186" s="40" t="s">
        <v>160</v>
      </c>
      <c r="D186" s="110">
        <f>D181+D182-D183</f>
        <v>0</v>
      </c>
      <c r="E186" s="177">
        <f t="shared" si="4"/>
        <v>0</v>
      </c>
    </row>
    <row r="187" spans="1:5" s="24" customFormat="1" ht="12.75" customHeight="1" hidden="1">
      <c r="A187" s="428" t="s">
        <v>22</v>
      </c>
      <c r="B187" s="429" t="s">
        <v>21</v>
      </c>
      <c r="C187" s="51" t="s">
        <v>156</v>
      </c>
      <c r="D187" s="112"/>
      <c r="E187" s="177">
        <f aca="true" t="shared" si="5" ref="E187:E267">D187</f>
        <v>0</v>
      </c>
    </row>
    <row r="188" spans="1:5" s="24" customFormat="1" ht="13.5" customHeight="1" hidden="1">
      <c r="A188" s="428"/>
      <c r="B188" s="429"/>
      <c r="C188" s="39" t="s">
        <v>1</v>
      </c>
      <c r="D188" s="112"/>
      <c r="E188" s="177">
        <f t="shared" si="5"/>
        <v>0</v>
      </c>
    </row>
    <row r="189" spans="1:5" s="24" customFormat="1" ht="13.5" customHeight="1" hidden="1">
      <c r="A189" s="428"/>
      <c r="B189" s="429"/>
      <c r="C189" s="39" t="s">
        <v>2</v>
      </c>
      <c r="D189" s="112"/>
      <c r="E189" s="177">
        <f t="shared" si="5"/>
        <v>0</v>
      </c>
    </row>
    <row r="190" spans="1:5" s="24" customFormat="1" ht="13.5" customHeight="1" hidden="1">
      <c r="A190" s="428"/>
      <c r="B190" s="429"/>
      <c r="C190" s="39" t="s">
        <v>4</v>
      </c>
      <c r="D190" s="112"/>
      <c r="E190" s="177">
        <f t="shared" si="5"/>
        <v>0</v>
      </c>
    </row>
    <row r="191" spans="1:5" s="24" customFormat="1" ht="13.5" customHeight="1" hidden="1">
      <c r="A191" s="428"/>
      <c r="B191" s="429"/>
      <c r="C191" s="39" t="s">
        <v>3</v>
      </c>
      <c r="D191" s="112"/>
      <c r="E191" s="177">
        <f t="shared" si="5"/>
        <v>0</v>
      </c>
    </row>
    <row r="192" spans="1:5" s="3" customFormat="1" ht="13.5" customHeight="1" hidden="1">
      <c r="A192" s="428"/>
      <c r="B192" s="429"/>
      <c r="C192" s="40" t="s">
        <v>160</v>
      </c>
      <c r="D192" s="114">
        <f>D187+D188-D189</f>
        <v>0</v>
      </c>
      <c r="E192" s="177">
        <f t="shared" si="5"/>
        <v>0</v>
      </c>
    </row>
    <row r="193" spans="1:5" s="3" customFormat="1" ht="13.5" customHeight="1" thickBot="1">
      <c r="A193" s="434" t="s">
        <v>148</v>
      </c>
      <c r="B193" s="429" t="s">
        <v>144</v>
      </c>
      <c r="C193" s="51" t="s">
        <v>175</v>
      </c>
      <c r="D193" s="177">
        <v>479.83</v>
      </c>
      <c r="E193" s="177">
        <f t="shared" si="5"/>
        <v>479.83</v>
      </c>
    </row>
    <row r="194" spans="1:5" s="3" customFormat="1" ht="13.5" customHeight="1" thickBot="1">
      <c r="A194" s="433"/>
      <c r="B194" s="429"/>
      <c r="C194" s="39" t="s">
        <v>1</v>
      </c>
      <c r="D194" s="177">
        <v>2318.95</v>
      </c>
      <c r="E194" s="177">
        <f t="shared" si="5"/>
        <v>2318.95</v>
      </c>
    </row>
    <row r="195" spans="1:5" s="3" customFormat="1" ht="13.5" customHeight="1" thickBot="1">
      <c r="A195" s="433"/>
      <c r="B195" s="429"/>
      <c r="C195" s="39" t="s">
        <v>2</v>
      </c>
      <c r="D195" s="177">
        <v>1785.57</v>
      </c>
      <c r="E195" s="177">
        <f t="shared" si="5"/>
        <v>1785.57</v>
      </c>
    </row>
    <row r="196" spans="1:5" s="3" customFormat="1" ht="13.5" customHeight="1" thickBot="1">
      <c r="A196" s="433"/>
      <c r="B196" s="429"/>
      <c r="C196" s="39" t="s">
        <v>4</v>
      </c>
      <c r="D196" s="216">
        <f>+D194</f>
        <v>2318.95</v>
      </c>
      <c r="E196" s="216">
        <f>+E194</f>
        <v>2318.95</v>
      </c>
    </row>
    <row r="197" spans="1:5" s="3" customFormat="1" ht="13.5" customHeight="1" thickBot="1">
      <c r="A197" s="433"/>
      <c r="B197" s="429"/>
      <c r="C197" s="39" t="s">
        <v>3</v>
      </c>
      <c r="D197" s="177">
        <f>+D195</f>
        <v>1785.57</v>
      </c>
      <c r="E197" s="177">
        <f>+E195</f>
        <v>1785.57</v>
      </c>
    </row>
    <row r="198" spans="1:5" s="3" customFormat="1" ht="13.5" customHeight="1" thickBot="1">
      <c r="A198" s="433"/>
      <c r="B198" s="429"/>
      <c r="C198" s="40" t="s">
        <v>199</v>
      </c>
      <c r="D198" s="75">
        <f>D193+D194-D195</f>
        <v>1013.2099999999998</v>
      </c>
      <c r="E198" s="178">
        <f t="shared" si="5"/>
        <v>1013.2099999999998</v>
      </c>
    </row>
    <row r="199" spans="1:5" s="3" customFormat="1" ht="13.5" customHeight="1" thickBot="1">
      <c r="A199" s="433"/>
      <c r="B199" s="429" t="s">
        <v>145</v>
      </c>
      <c r="C199" s="51" t="s">
        <v>175</v>
      </c>
      <c r="D199" s="177">
        <v>1409.4</v>
      </c>
      <c r="E199" s="179">
        <f t="shared" si="5"/>
        <v>1409.4</v>
      </c>
    </row>
    <row r="200" spans="1:5" s="3" customFormat="1" ht="13.5" customHeight="1" thickBot="1">
      <c r="A200" s="433"/>
      <c r="B200" s="429"/>
      <c r="C200" s="39" t="s">
        <v>1</v>
      </c>
      <c r="D200" s="177">
        <v>6811.68</v>
      </c>
      <c r="E200" s="177">
        <f t="shared" si="5"/>
        <v>6811.68</v>
      </c>
    </row>
    <row r="201" spans="1:5" s="3" customFormat="1" ht="13.5" customHeight="1" thickBot="1">
      <c r="A201" s="433"/>
      <c r="B201" s="429"/>
      <c r="C201" s="39" t="s">
        <v>2</v>
      </c>
      <c r="D201" s="177">
        <v>5244.97</v>
      </c>
      <c r="E201" s="177">
        <f t="shared" si="5"/>
        <v>5244.97</v>
      </c>
    </row>
    <row r="202" spans="1:5" s="3" customFormat="1" ht="13.5" customHeight="1" thickBot="1">
      <c r="A202" s="433"/>
      <c r="B202" s="429"/>
      <c r="C202" s="39" t="s">
        <v>4</v>
      </c>
      <c r="D202" s="216">
        <f>+D200</f>
        <v>6811.68</v>
      </c>
      <c r="E202" s="216">
        <f>+E200</f>
        <v>6811.68</v>
      </c>
    </row>
    <row r="203" spans="1:5" s="3" customFormat="1" ht="13.5" customHeight="1" thickBot="1">
      <c r="A203" s="433"/>
      <c r="B203" s="429"/>
      <c r="C203" s="39" t="s">
        <v>3</v>
      </c>
      <c r="D203" s="177">
        <f>+D201</f>
        <v>5244.97</v>
      </c>
      <c r="E203" s="177">
        <f>+E201</f>
        <v>5244.97</v>
      </c>
    </row>
    <row r="204" spans="1:5" s="3" customFormat="1" ht="13.5" customHeight="1" thickBot="1">
      <c r="A204" s="433"/>
      <c r="B204" s="429"/>
      <c r="C204" s="40" t="s">
        <v>199</v>
      </c>
      <c r="D204" s="75">
        <f>D199+D200-D201</f>
        <v>2976.1099999999997</v>
      </c>
      <c r="E204" s="178">
        <f t="shared" si="5"/>
        <v>2976.1099999999997</v>
      </c>
    </row>
    <row r="205" spans="1:5" s="3" customFormat="1" ht="13.5" customHeight="1" thickBot="1">
      <c r="A205" s="433"/>
      <c r="B205" s="429" t="s">
        <v>146</v>
      </c>
      <c r="C205" s="51" t="s">
        <v>175</v>
      </c>
      <c r="D205" s="177">
        <v>479.83</v>
      </c>
      <c r="E205" s="179">
        <f t="shared" si="5"/>
        <v>479.83</v>
      </c>
    </row>
    <row r="206" spans="1:5" s="3" customFormat="1" ht="13.5" customHeight="1" thickBot="1">
      <c r="A206" s="433"/>
      <c r="B206" s="429"/>
      <c r="C206" s="39" t="s">
        <v>1</v>
      </c>
      <c r="D206" s="177">
        <v>2318.95</v>
      </c>
      <c r="E206" s="177">
        <f t="shared" si="5"/>
        <v>2318.95</v>
      </c>
    </row>
    <row r="207" spans="1:5" s="3" customFormat="1" ht="13.5" customHeight="1" thickBot="1">
      <c r="A207" s="433"/>
      <c r="B207" s="429"/>
      <c r="C207" s="39" t="s">
        <v>2</v>
      </c>
      <c r="D207" s="177">
        <v>1785.57</v>
      </c>
      <c r="E207" s="177">
        <f t="shared" si="5"/>
        <v>1785.57</v>
      </c>
    </row>
    <row r="208" spans="1:5" s="3" customFormat="1" ht="13.5" customHeight="1" thickBot="1">
      <c r="A208" s="433"/>
      <c r="B208" s="429"/>
      <c r="C208" s="39" t="s">
        <v>4</v>
      </c>
      <c r="D208" s="216">
        <f>+D206</f>
        <v>2318.95</v>
      </c>
      <c r="E208" s="216">
        <f>+E206</f>
        <v>2318.95</v>
      </c>
    </row>
    <row r="209" spans="1:5" s="3" customFormat="1" ht="13.5" customHeight="1" thickBot="1">
      <c r="A209" s="433"/>
      <c r="B209" s="429"/>
      <c r="C209" s="39" t="s">
        <v>3</v>
      </c>
      <c r="D209" s="177">
        <f>+D207</f>
        <v>1785.57</v>
      </c>
      <c r="E209" s="177">
        <f>+E207</f>
        <v>1785.57</v>
      </c>
    </row>
    <row r="210" spans="1:5" s="3" customFormat="1" ht="13.5" customHeight="1" thickBot="1">
      <c r="A210" s="435"/>
      <c r="B210" s="429"/>
      <c r="C210" s="40" t="s">
        <v>199</v>
      </c>
      <c r="D210" s="75">
        <f>D205+D206-D207</f>
        <v>1013.2099999999998</v>
      </c>
      <c r="E210" s="178">
        <f t="shared" si="5"/>
        <v>1013.2099999999998</v>
      </c>
    </row>
    <row r="211" spans="1:5" s="3" customFormat="1" ht="13.5" customHeight="1" thickBot="1">
      <c r="A211" s="434" t="s">
        <v>20</v>
      </c>
      <c r="B211" s="429" t="s">
        <v>21</v>
      </c>
      <c r="C211" s="51" t="s">
        <v>175</v>
      </c>
      <c r="D211" s="177">
        <v>5544.94</v>
      </c>
      <c r="E211" s="179">
        <f t="shared" si="5"/>
        <v>5544.94</v>
      </c>
    </row>
    <row r="212" spans="1:5" s="3" customFormat="1" ht="13.5" customHeight="1" thickBot="1">
      <c r="A212" s="433"/>
      <c r="B212" s="429"/>
      <c r="C212" s="39" t="s">
        <v>1</v>
      </c>
      <c r="D212" s="177">
        <v>26957.05</v>
      </c>
      <c r="E212" s="177">
        <f t="shared" si="5"/>
        <v>26957.05</v>
      </c>
    </row>
    <row r="213" spans="1:5" s="3" customFormat="1" ht="13.5" customHeight="1" thickBot="1">
      <c r="A213" s="433"/>
      <c r="B213" s="429"/>
      <c r="C213" s="39" t="s">
        <v>2</v>
      </c>
      <c r="D213" s="177">
        <v>20734.6</v>
      </c>
      <c r="E213" s="177">
        <f t="shared" si="5"/>
        <v>20734.6</v>
      </c>
    </row>
    <row r="214" spans="1:5" s="3" customFormat="1" ht="13.5" customHeight="1" thickBot="1">
      <c r="A214" s="433"/>
      <c r="B214" s="429"/>
      <c r="C214" s="39" t="s">
        <v>4</v>
      </c>
      <c r="D214" s="218">
        <v>27186.76</v>
      </c>
      <c r="E214" s="322">
        <f t="shared" si="5"/>
        <v>27186.76</v>
      </c>
    </row>
    <row r="215" spans="1:5" s="3" customFormat="1" ht="13.5" customHeight="1" thickBot="1">
      <c r="A215" s="433"/>
      <c r="B215" s="429"/>
      <c r="C215" s="39" t="s">
        <v>3</v>
      </c>
      <c r="D215" s="177">
        <f>D213</f>
        <v>20734.6</v>
      </c>
      <c r="E215" s="177">
        <f>+E213</f>
        <v>20734.6</v>
      </c>
    </row>
    <row r="216" spans="1:5" s="3" customFormat="1" ht="13.5" customHeight="1" thickBot="1">
      <c r="A216" s="433"/>
      <c r="B216" s="429"/>
      <c r="C216" s="40" t="s">
        <v>199</v>
      </c>
      <c r="D216" s="239">
        <f>D211+D212-D213</f>
        <v>11767.39</v>
      </c>
      <c r="E216" s="178">
        <f t="shared" si="5"/>
        <v>11767.39</v>
      </c>
    </row>
    <row r="217" spans="1:5" s="24" customFormat="1" ht="14.25" customHeight="1" thickBot="1">
      <c r="A217" s="433"/>
      <c r="B217" s="429" t="s">
        <v>147</v>
      </c>
      <c r="C217" s="51" t="s">
        <v>175</v>
      </c>
      <c r="D217" s="177">
        <v>779.66</v>
      </c>
      <c r="E217" s="179">
        <f t="shared" si="5"/>
        <v>779.66</v>
      </c>
    </row>
    <row r="218" spans="1:5" s="24" customFormat="1" ht="13.5" thickBot="1">
      <c r="A218" s="433"/>
      <c r="B218" s="429"/>
      <c r="C218" s="39" t="s">
        <v>1</v>
      </c>
      <c r="D218" s="177">
        <v>3768.25</v>
      </c>
      <c r="E218" s="177">
        <f t="shared" si="5"/>
        <v>3768.25</v>
      </c>
    </row>
    <row r="219" spans="1:5" s="24" customFormat="1" ht="13.5" thickBot="1">
      <c r="A219" s="433"/>
      <c r="B219" s="429"/>
      <c r="C219" s="39" t="s">
        <v>2</v>
      </c>
      <c r="D219" s="177">
        <v>2901.46</v>
      </c>
      <c r="E219" s="177">
        <f t="shared" si="5"/>
        <v>2901.46</v>
      </c>
    </row>
    <row r="220" spans="1:5" s="24" customFormat="1" ht="13.5" thickBot="1">
      <c r="A220" s="433"/>
      <c r="B220" s="429"/>
      <c r="C220" s="39" t="s">
        <v>4</v>
      </c>
      <c r="D220" s="216">
        <f>+D218</f>
        <v>3768.25</v>
      </c>
      <c r="E220" s="177">
        <f t="shared" si="5"/>
        <v>3768.25</v>
      </c>
    </row>
    <row r="221" spans="1:5" s="24" customFormat="1" ht="13.5" thickBot="1">
      <c r="A221" s="433"/>
      <c r="B221" s="429"/>
      <c r="C221" s="39" t="s">
        <v>3</v>
      </c>
      <c r="D221" s="177">
        <f>+D219</f>
        <v>2901.46</v>
      </c>
      <c r="E221" s="177">
        <f t="shared" si="5"/>
        <v>2901.46</v>
      </c>
    </row>
    <row r="222" spans="1:5" s="3" customFormat="1" ht="13.5" thickBot="1">
      <c r="A222" s="435"/>
      <c r="B222" s="429"/>
      <c r="C222" s="40" t="s">
        <v>199</v>
      </c>
      <c r="D222" s="239">
        <f>D217+D218-D219</f>
        <v>1646.4499999999998</v>
      </c>
      <c r="E222" s="178">
        <f t="shared" si="5"/>
        <v>1646.4499999999998</v>
      </c>
    </row>
    <row r="223" spans="1:5" s="3" customFormat="1" ht="14.25" customHeight="1" hidden="1">
      <c r="A223" s="366" t="s">
        <v>23</v>
      </c>
      <c r="B223" s="430" t="s">
        <v>18</v>
      </c>
      <c r="C223" s="51" t="s">
        <v>156</v>
      </c>
      <c r="D223" s="90"/>
      <c r="E223" s="179">
        <f t="shared" si="5"/>
        <v>0</v>
      </c>
    </row>
    <row r="224" spans="1:5" s="3" customFormat="1" ht="13.5" customHeight="1" hidden="1" thickBot="1">
      <c r="A224" s="367"/>
      <c r="B224" s="431"/>
      <c r="C224" s="39" t="s">
        <v>1</v>
      </c>
      <c r="D224" s="86"/>
      <c r="E224" s="177">
        <f t="shared" si="5"/>
        <v>0</v>
      </c>
    </row>
    <row r="225" spans="1:5" s="3" customFormat="1" ht="13.5" customHeight="1" hidden="1" thickBot="1">
      <c r="A225" s="367"/>
      <c r="B225" s="431"/>
      <c r="C225" s="39" t="s">
        <v>2</v>
      </c>
      <c r="D225" s="86"/>
      <c r="E225" s="177">
        <f t="shared" si="5"/>
        <v>0</v>
      </c>
    </row>
    <row r="226" spans="1:5" s="3" customFormat="1" ht="13.5" customHeight="1" hidden="1" thickBot="1">
      <c r="A226" s="367"/>
      <c r="B226" s="431"/>
      <c r="C226" s="39" t="s">
        <v>4</v>
      </c>
      <c r="D226" s="112">
        <f>D224</f>
        <v>0</v>
      </c>
      <c r="E226" s="177">
        <f t="shared" si="5"/>
        <v>0</v>
      </c>
    </row>
    <row r="227" spans="1:5" s="3" customFormat="1" ht="13.5" customHeight="1" hidden="1" thickBot="1">
      <c r="A227" s="367"/>
      <c r="B227" s="431"/>
      <c r="C227" s="39" t="s">
        <v>3</v>
      </c>
      <c r="D227" s="112">
        <f>D224</f>
        <v>0</v>
      </c>
      <c r="E227" s="177">
        <f t="shared" si="5"/>
        <v>0</v>
      </c>
    </row>
    <row r="228" spans="1:5" s="3" customFormat="1" ht="13.5" customHeight="1" hidden="1" thickBot="1">
      <c r="A228" s="367"/>
      <c r="B228" s="432"/>
      <c r="C228" s="40" t="s">
        <v>160</v>
      </c>
      <c r="D228" s="110">
        <f>D223+D224-D225</f>
        <v>0</v>
      </c>
      <c r="E228" s="177">
        <f t="shared" si="5"/>
        <v>0</v>
      </c>
    </row>
    <row r="229" spans="1:5" s="3" customFormat="1" ht="13.5" customHeight="1" hidden="1">
      <c r="A229" s="367"/>
      <c r="B229" s="430" t="s">
        <v>40</v>
      </c>
      <c r="C229" s="51" t="s">
        <v>156</v>
      </c>
      <c r="D229" s="86"/>
      <c r="E229" s="177">
        <f t="shared" si="5"/>
        <v>0</v>
      </c>
    </row>
    <row r="230" spans="1:5" s="3" customFormat="1" ht="13.5" customHeight="1" hidden="1" thickBot="1">
      <c r="A230" s="367"/>
      <c r="B230" s="431"/>
      <c r="C230" s="39" t="s">
        <v>1</v>
      </c>
      <c r="D230" s="86"/>
      <c r="E230" s="177">
        <f t="shared" si="5"/>
        <v>0</v>
      </c>
    </row>
    <row r="231" spans="1:5" s="3" customFormat="1" ht="13.5" customHeight="1" hidden="1" thickBot="1">
      <c r="A231" s="367"/>
      <c r="B231" s="431"/>
      <c r="C231" s="39" t="s">
        <v>2</v>
      </c>
      <c r="D231" s="86"/>
      <c r="E231" s="177">
        <f t="shared" si="5"/>
        <v>0</v>
      </c>
    </row>
    <row r="232" spans="1:5" s="3" customFormat="1" ht="13.5" customHeight="1" hidden="1" thickBot="1">
      <c r="A232" s="367"/>
      <c r="B232" s="431"/>
      <c r="C232" s="39" t="s">
        <v>4</v>
      </c>
      <c r="D232" s="112">
        <f>D230</f>
        <v>0</v>
      </c>
      <c r="E232" s="177">
        <f t="shared" si="5"/>
        <v>0</v>
      </c>
    </row>
    <row r="233" spans="1:5" s="3" customFormat="1" ht="13.5" customHeight="1" hidden="1" thickBot="1">
      <c r="A233" s="367"/>
      <c r="B233" s="431"/>
      <c r="C233" s="39" t="s">
        <v>3</v>
      </c>
      <c r="D233" s="112">
        <f>D230</f>
        <v>0</v>
      </c>
      <c r="E233" s="177">
        <f t="shared" si="5"/>
        <v>0</v>
      </c>
    </row>
    <row r="234" spans="1:5" s="3" customFormat="1" ht="13.5" customHeight="1" hidden="1" thickBot="1">
      <c r="A234" s="367"/>
      <c r="B234" s="432"/>
      <c r="C234" s="40" t="s">
        <v>160</v>
      </c>
      <c r="D234" s="110">
        <f>D229+D230-D231</f>
        <v>0</v>
      </c>
      <c r="E234" s="177">
        <f t="shared" si="5"/>
        <v>0</v>
      </c>
    </row>
    <row r="235" spans="1:5" s="3" customFormat="1" ht="13.5" customHeight="1" hidden="1" thickBot="1">
      <c r="A235" s="367"/>
      <c r="B235" s="430" t="s">
        <v>33</v>
      </c>
      <c r="C235" s="51" t="s">
        <v>156</v>
      </c>
      <c r="D235" s="86"/>
      <c r="E235" s="177">
        <f t="shared" si="5"/>
        <v>0</v>
      </c>
    </row>
    <row r="236" spans="1:5" s="3" customFormat="1" ht="13.5" customHeight="1" hidden="1" thickBot="1">
      <c r="A236" s="367"/>
      <c r="B236" s="431"/>
      <c r="C236" s="39" t="s">
        <v>1</v>
      </c>
      <c r="D236" s="86"/>
      <c r="E236" s="177">
        <f t="shared" si="5"/>
        <v>0</v>
      </c>
    </row>
    <row r="237" spans="1:5" s="3" customFormat="1" ht="13.5" customHeight="1" hidden="1" thickBot="1">
      <c r="A237" s="367"/>
      <c r="B237" s="431"/>
      <c r="C237" s="39" t="s">
        <v>2</v>
      </c>
      <c r="D237" s="86"/>
      <c r="E237" s="177">
        <f t="shared" si="5"/>
        <v>0</v>
      </c>
    </row>
    <row r="238" spans="1:5" s="3" customFormat="1" ht="13.5" customHeight="1" hidden="1" thickBot="1">
      <c r="A238" s="367"/>
      <c r="B238" s="431"/>
      <c r="C238" s="39" t="s">
        <v>4</v>
      </c>
      <c r="D238" s="112">
        <f>D236</f>
        <v>0</v>
      </c>
      <c r="E238" s="177">
        <f t="shared" si="5"/>
        <v>0</v>
      </c>
    </row>
    <row r="239" spans="1:5" s="3" customFormat="1" ht="13.5" customHeight="1" hidden="1" thickBot="1">
      <c r="A239" s="367"/>
      <c r="B239" s="431"/>
      <c r="C239" s="39" t="s">
        <v>3</v>
      </c>
      <c r="D239" s="112">
        <f>D236</f>
        <v>0</v>
      </c>
      <c r="E239" s="177">
        <f t="shared" si="5"/>
        <v>0</v>
      </c>
    </row>
    <row r="240" spans="1:5" s="3" customFormat="1" ht="13.5" customHeight="1" hidden="1" thickBot="1">
      <c r="A240" s="367"/>
      <c r="B240" s="432"/>
      <c r="C240" s="40" t="s">
        <v>160</v>
      </c>
      <c r="D240" s="110">
        <f>D235+D236-D237</f>
        <v>0</v>
      </c>
      <c r="E240" s="177">
        <f t="shared" si="5"/>
        <v>0</v>
      </c>
    </row>
    <row r="241" spans="1:5" s="3" customFormat="1" ht="15" customHeight="1" hidden="1">
      <c r="A241" s="367"/>
      <c r="B241" s="430" t="s">
        <v>42</v>
      </c>
      <c r="C241" s="51" t="s">
        <v>156</v>
      </c>
      <c r="D241" s="86"/>
      <c r="E241" s="177">
        <f t="shared" si="5"/>
        <v>0</v>
      </c>
    </row>
    <row r="242" spans="1:5" s="3" customFormat="1" ht="13.5" customHeight="1" hidden="1" thickBot="1">
      <c r="A242" s="367"/>
      <c r="B242" s="431"/>
      <c r="C242" s="39" t="s">
        <v>1</v>
      </c>
      <c r="D242" s="86"/>
      <c r="E242" s="177">
        <f t="shared" si="5"/>
        <v>0</v>
      </c>
    </row>
    <row r="243" spans="1:5" s="3" customFormat="1" ht="13.5" customHeight="1" hidden="1" thickBot="1">
      <c r="A243" s="367"/>
      <c r="B243" s="431"/>
      <c r="C243" s="39" t="s">
        <v>2</v>
      </c>
      <c r="D243" s="86"/>
      <c r="E243" s="177">
        <f t="shared" si="5"/>
        <v>0</v>
      </c>
    </row>
    <row r="244" spans="1:5" s="3" customFormat="1" ht="13.5" customHeight="1" hidden="1" thickBot="1">
      <c r="A244" s="367"/>
      <c r="B244" s="431"/>
      <c r="C244" s="39" t="s">
        <v>4</v>
      </c>
      <c r="D244" s="112">
        <f>D242</f>
        <v>0</v>
      </c>
      <c r="E244" s="177">
        <f t="shared" si="5"/>
        <v>0</v>
      </c>
    </row>
    <row r="245" spans="1:5" s="3" customFormat="1" ht="13.5" customHeight="1" hidden="1" thickBot="1">
      <c r="A245" s="367"/>
      <c r="B245" s="431"/>
      <c r="C245" s="39" t="s">
        <v>3</v>
      </c>
      <c r="D245" s="112">
        <f>D242</f>
        <v>0</v>
      </c>
      <c r="E245" s="177">
        <f t="shared" si="5"/>
        <v>0</v>
      </c>
    </row>
    <row r="246" spans="1:5" s="3" customFormat="1" ht="13.5" customHeight="1" hidden="1" thickBot="1">
      <c r="A246" s="367"/>
      <c r="B246" s="432"/>
      <c r="C246" s="40" t="s">
        <v>160</v>
      </c>
      <c r="D246" s="110">
        <f>D241+D242-D243</f>
        <v>0</v>
      </c>
      <c r="E246" s="177">
        <f t="shared" si="5"/>
        <v>0</v>
      </c>
    </row>
    <row r="247" spans="1:5" s="3" customFormat="1" ht="13.5" thickBot="1">
      <c r="A247" s="434" t="s">
        <v>29</v>
      </c>
      <c r="B247" s="429" t="s">
        <v>173</v>
      </c>
      <c r="C247" s="51" t="s">
        <v>175</v>
      </c>
      <c r="D247" s="179">
        <v>15324.12</v>
      </c>
      <c r="E247" s="176">
        <f>D247</f>
        <v>15324.12</v>
      </c>
    </row>
    <row r="248" spans="1:5" s="3" customFormat="1" ht="13.5" thickBot="1">
      <c r="A248" s="433"/>
      <c r="B248" s="429"/>
      <c r="C248" s="39" t="s">
        <v>1</v>
      </c>
      <c r="D248" s="177">
        <v>74058.88</v>
      </c>
      <c r="E248" s="177">
        <f>D248</f>
        <v>74058.88</v>
      </c>
    </row>
    <row r="249" spans="1:5" s="3" customFormat="1" ht="13.5" thickBot="1">
      <c r="A249" s="433"/>
      <c r="B249" s="429"/>
      <c r="C249" s="39" t="s">
        <v>2</v>
      </c>
      <c r="D249" s="177">
        <v>57024.62</v>
      </c>
      <c r="E249" s="177">
        <f>D249</f>
        <v>57024.62</v>
      </c>
    </row>
    <row r="250" spans="1:5" s="3" customFormat="1" ht="13.5" thickBot="1">
      <c r="A250" s="433"/>
      <c r="B250" s="429"/>
      <c r="C250" s="39" t="s">
        <v>4</v>
      </c>
      <c r="D250" s="216">
        <f>+D248</f>
        <v>74058.88</v>
      </c>
      <c r="E250" s="216">
        <f>+E248</f>
        <v>74058.88</v>
      </c>
    </row>
    <row r="251" spans="1:5" s="3" customFormat="1" ht="13.5" thickBot="1">
      <c r="A251" s="433"/>
      <c r="B251" s="429"/>
      <c r="C251" s="39" t="s">
        <v>3</v>
      </c>
      <c r="D251" s="177">
        <f>+D249</f>
        <v>57024.62</v>
      </c>
      <c r="E251" s="177">
        <f>+E249</f>
        <v>57024.62</v>
      </c>
    </row>
    <row r="252" spans="1:5" s="3" customFormat="1" ht="13.5" thickBot="1">
      <c r="A252" s="433"/>
      <c r="B252" s="429"/>
      <c r="C252" s="40" t="s">
        <v>199</v>
      </c>
      <c r="D252" s="75">
        <f>D247+D248-D249</f>
        <v>32358.379999999997</v>
      </c>
      <c r="E252" s="178">
        <f>D252</f>
        <v>32358.379999999997</v>
      </c>
    </row>
    <row r="253" spans="1:5" s="3" customFormat="1" ht="13.5" thickBot="1">
      <c r="A253" s="434" t="s">
        <v>31</v>
      </c>
      <c r="B253" s="429" t="s">
        <v>195</v>
      </c>
      <c r="C253" s="51" t="s">
        <v>175</v>
      </c>
      <c r="D253" s="179">
        <v>3838.54</v>
      </c>
      <c r="E253" s="176">
        <f>D253</f>
        <v>3838.54</v>
      </c>
    </row>
    <row r="254" spans="1:5" s="3" customFormat="1" ht="13.5" thickBot="1">
      <c r="A254" s="433"/>
      <c r="B254" s="429"/>
      <c r="C254" s="39" t="s">
        <v>1</v>
      </c>
      <c r="D254" s="177">
        <v>18551.14</v>
      </c>
      <c r="E254" s="177">
        <f>D254</f>
        <v>18551.14</v>
      </c>
    </row>
    <row r="255" spans="1:5" s="3" customFormat="1" ht="13.5" thickBot="1">
      <c r="A255" s="433"/>
      <c r="B255" s="429"/>
      <c r="C255" s="39" t="s">
        <v>2</v>
      </c>
      <c r="D255" s="177">
        <v>14284.05</v>
      </c>
      <c r="E255" s="177">
        <f>D255</f>
        <v>14284.05</v>
      </c>
    </row>
    <row r="256" spans="1:5" s="3" customFormat="1" ht="13.5" thickBot="1">
      <c r="A256" s="433"/>
      <c r="B256" s="429"/>
      <c r="C256" s="39" t="s">
        <v>4</v>
      </c>
      <c r="D256" s="216">
        <f>+D254</f>
        <v>18551.14</v>
      </c>
      <c r="E256" s="216">
        <f>+E254</f>
        <v>18551.14</v>
      </c>
    </row>
    <row r="257" spans="1:5" s="3" customFormat="1" ht="13.5" thickBot="1">
      <c r="A257" s="433"/>
      <c r="B257" s="429"/>
      <c r="C257" s="39" t="s">
        <v>3</v>
      </c>
      <c r="D257" s="177">
        <f>+D255</f>
        <v>14284.05</v>
      </c>
      <c r="E257" s="177">
        <f>+E255</f>
        <v>14284.05</v>
      </c>
    </row>
    <row r="258" spans="1:5" s="3" customFormat="1" ht="13.5" thickBot="1">
      <c r="A258" s="433"/>
      <c r="B258" s="429"/>
      <c r="C258" s="40" t="s">
        <v>199</v>
      </c>
      <c r="D258" s="75">
        <f>D253+D254-D255</f>
        <v>8105.630000000001</v>
      </c>
      <c r="E258" s="178">
        <f>D258</f>
        <v>8105.630000000001</v>
      </c>
    </row>
    <row r="259" spans="1:5" s="3" customFormat="1" ht="13.5" thickBot="1">
      <c r="A259" s="434" t="s">
        <v>25</v>
      </c>
      <c r="B259" s="429" t="s">
        <v>196</v>
      </c>
      <c r="C259" s="51" t="s">
        <v>175</v>
      </c>
      <c r="D259" s="179">
        <v>89.97</v>
      </c>
      <c r="E259" s="176">
        <f>D259</f>
        <v>89.97</v>
      </c>
    </row>
    <row r="260" spans="1:5" s="3" customFormat="1" ht="13.5" thickBot="1">
      <c r="A260" s="433"/>
      <c r="B260" s="429"/>
      <c r="C260" s="39" t="s">
        <v>1</v>
      </c>
      <c r="D260" s="177">
        <v>434.82</v>
      </c>
      <c r="E260" s="177">
        <f>D260</f>
        <v>434.82</v>
      </c>
    </row>
    <row r="261" spans="1:5" s="3" customFormat="1" ht="13.5" thickBot="1">
      <c r="A261" s="433"/>
      <c r="B261" s="429"/>
      <c r="C261" s="39" t="s">
        <v>2</v>
      </c>
      <c r="D261" s="177">
        <v>334.8</v>
      </c>
      <c r="E261" s="177">
        <f>D261</f>
        <v>334.8</v>
      </c>
    </row>
    <row r="262" spans="1:5" s="3" customFormat="1" ht="13.5" thickBot="1">
      <c r="A262" s="433"/>
      <c r="B262" s="429"/>
      <c r="C262" s="39" t="s">
        <v>4</v>
      </c>
      <c r="D262" s="216">
        <f>+D260</f>
        <v>434.82</v>
      </c>
      <c r="E262" s="216">
        <f>+E260</f>
        <v>434.82</v>
      </c>
    </row>
    <row r="263" spans="1:5" s="3" customFormat="1" ht="13.5" thickBot="1">
      <c r="A263" s="433"/>
      <c r="B263" s="429"/>
      <c r="C263" s="39" t="s">
        <v>3</v>
      </c>
      <c r="D263" s="177">
        <f>+D261</f>
        <v>334.8</v>
      </c>
      <c r="E263" s="177">
        <f>+E261</f>
        <v>334.8</v>
      </c>
    </row>
    <row r="264" spans="1:5" s="3" customFormat="1" ht="13.5" thickBot="1">
      <c r="A264" s="433"/>
      <c r="B264" s="429"/>
      <c r="C264" s="40" t="s">
        <v>199</v>
      </c>
      <c r="D264" s="75">
        <f>D259+D260-D261</f>
        <v>189.98999999999995</v>
      </c>
      <c r="E264" s="178">
        <f>D264</f>
        <v>189.98999999999995</v>
      </c>
    </row>
    <row r="265" spans="1:5" s="24" customFormat="1" ht="12.75" customHeight="1" thickBot="1">
      <c r="A265" s="434" t="s">
        <v>194</v>
      </c>
      <c r="B265" s="429" t="s">
        <v>41</v>
      </c>
      <c r="C265" s="51" t="s">
        <v>175</v>
      </c>
      <c r="D265" s="177">
        <v>25213.79</v>
      </c>
      <c r="E265" s="177">
        <f t="shared" si="5"/>
        <v>25213.79</v>
      </c>
    </row>
    <row r="266" spans="1:5" s="24" customFormat="1" ht="13.5" thickBot="1">
      <c r="A266" s="433"/>
      <c r="B266" s="429"/>
      <c r="C266" s="39" t="s">
        <v>1</v>
      </c>
      <c r="D266" s="177">
        <v>130413.91</v>
      </c>
      <c r="E266" s="177">
        <f t="shared" si="5"/>
        <v>130413.91</v>
      </c>
    </row>
    <row r="267" spans="1:5" s="24" customFormat="1" ht="13.5" thickBot="1">
      <c r="A267" s="433"/>
      <c r="B267" s="429"/>
      <c r="C267" s="39" t="s">
        <v>2</v>
      </c>
      <c r="D267" s="177">
        <v>103594.95</v>
      </c>
      <c r="E267" s="177">
        <f t="shared" si="5"/>
        <v>103594.95</v>
      </c>
    </row>
    <row r="268" spans="1:5" s="24" customFormat="1" ht="13.5" thickBot="1">
      <c r="A268" s="433"/>
      <c r="B268" s="429"/>
      <c r="C268" s="39" t="s">
        <v>4</v>
      </c>
      <c r="D268" s="216">
        <f>+D266</f>
        <v>130413.91</v>
      </c>
      <c r="E268" s="216">
        <f>+E266</f>
        <v>130413.91</v>
      </c>
    </row>
    <row r="269" spans="1:5" s="24" customFormat="1" ht="13.5" thickBot="1">
      <c r="A269" s="433"/>
      <c r="B269" s="429"/>
      <c r="C269" s="39" t="s">
        <v>3</v>
      </c>
      <c r="D269" s="177">
        <f>+D267</f>
        <v>103594.95</v>
      </c>
      <c r="E269" s="177">
        <f>+E267</f>
        <v>103594.95</v>
      </c>
    </row>
    <row r="270" spans="1:5" s="3" customFormat="1" ht="13.5" thickBot="1">
      <c r="A270" s="435"/>
      <c r="B270" s="429"/>
      <c r="C270" s="40" t="s">
        <v>199</v>
      </c>
      <c r="D270" s="75">
        <f>D265+D266-D267</f>
        <v>52032.750000000015</v>
      </c>
      <c r="E270" s="178">
        <f>D270</f>
        <v>52032.750000000015</v>
      </c>
    </row>
    <row r="271" spans="1:5" s="3" customFormat="1" ht="12.75">
      <c r="A271" s="393" t="s">
        <v>189</v>
      </c>
      <c r="B271" s="393"/>
      <c r="C271" s="393"/>
      <c r="D271" s="117"/>
      <c r="E271" s="169"/>
    </row>
    <row r="272" spans="1:5" s="24" customFormat="1" ht="12.75">
      <c r="A272" s="503"/>
      <c r="B272" s="504"/>
      <c r="C272" s="343" t="s">
        <v>175</v>
      </c>
      <c r="D272" s="122">
        <f>D121+D127+D133+D193+D199+D205+D211+D217+D247+D253+D259+D265</f>
        <v>106082.78</v>
      </c>
      <c r="E272" s="122">
        <f>E121+E127+E133+E193+E199+E205+E211+E217+E247+E253+E259+E265</f>
        <v>106082.78</v>
      </c>
    </row>
    <row r="273" spans="1:5" s="24" customFormat="1" ht="12.75">
      <c r="A273" s="503"/>
      <c r="B273" s="504"/>
      <c r="C273" s="365" t="s">
        <v>1</v>
      </c>
      <c r="D273" s="122">
        <f aca="true" t="shared" si="6" ref="D273:E277">D122+D128+D134+D194+D200+D206+D212+D218+D248+D254+D260+D266</f>
        <v>522449.6000000001</v>
      </c>
      <c r="E273" s="122">
        <f t="shared" si="6"/>
        <v>522449.6000000001</v>
      </c>
    </row>
    <row r="274" spans="1:5" s="24" customFormat="1" ht="12.75">
      <c r="A274" s="503"/>
      <c r="B274" s="504"/>
      <c r="C274" s="342" t="s">
        <v>2</v>
      </c>
      <c r="D274" s="122">
        <f t="shared" si="6"/>
        <v>405290.51</v>
      </c>
      <c r="E274" s="122">
        <f t="shared" si="6"/>
        <v>405290.51</v>
      </c>
    </row>
    <row r="275" spans="1:5" s="24" customFormat="1" ht="12.75">
      <c r="A275" s="503"/>
      <c r="B275" s="504"/>
      <c r="C275" s="342" t="s">
        <v>4</v>
      </c>
      <c r="D275" s="122">
        <f t="shared" si="6"/>
        <v>590041.89</v>
      </c>
      <c r="E275" s="122">
        <f t="shared" si="6"/>
        <v>590041.89</v>
      </c>
    </row>
    <row r="276" spans="1:5" s="24" customFormat="1" ht="12.75">
      <c r="A276" s="503"/>
      <c r="B276" s="504"/>
      <c r="C276" s="342" t="s">
        <v>3</v>
      </c>
      <c r="D276" s="122">
        <f t="shared" si="6"/>
        <v>405290.51</v>
      </c>
      <c r="E276" s="122">
        <f t="shared" si="6"/>
        <v>405290.51</v>
      </c>
    </row>
    <row r="277" spans="1:5" s="3" customFormat="1" ht="13.5" thickBot="1">
      <c r="A277" s="505"/>
      <c r="B277" s="506"/>
      <c r="C277" s="346" t="s">
        <v>199</v>
      </c>
      <c r="D277" s="170">
        <f t="shared" si="6"/>
        <v>223241.87</v>
      </c>
      <c r="E277" s="170">
        <f t="shared" si="6"/>
        <v>223241.87</v>
      </c>
    </row>
    <row r="278" spans="1:7" s="3" customFormat="1" ht="13.5" customHeight="1">
      <c r="A278" s="434" t="s">
        <v>174</v>
      </c>
      <c r="B278" s="430" t="s">
        <v>27</v>
      </c>
      <c r="C278" s="213" t="s">
        <v>175</v>
      </c>
      <c r="D278" s="179">
        <v>1649.14</v>
      </c>
      <c r="E278" s="179">
        <f>D278</f>
        <v>1649.14</v>
      </c>
      <c r="F278" s="21"/>
      <c r="G278" s="35"/>
    </row>
    <row r="279" spans="1:7" s="3" customFormat="1" ht="12.75">
      <c r="A279" s="433"/>
      <c r="B279" s="431"/>
      <c r="C279" s="39" t="s">
        <v>1</v>
      </c>
      <c r="D279" s="177">
        <v>8640</v>
      </c>
      <c r="E279" s="177">
        <f>D279</f>
        <v>8640</v>
      </c>
      <c r="F279" s="21"/>
      <c r="G279" s="35"/>
    </row>
    <row r="280" spans="1:7" s="3" customFormat="1" ht="12.75">
      <c r="A280" s="433"/>
      <c r="B280" s="431"/>
      <c r="C280" s="39" t="s">
        <v>2</v>
      </c>
      <c r="D280" s="177">
        <v>6906.15</v>
      </c>
      <c r="E280" s="177">
        <f>D280</f>
        <v>6906.15</v>
      </c>
      <c r="F280" s="21"/>
      <c r="G280" s="35"/>
    </row>
    <row r="281" spans="1:7" s="3" customFormat="1" ht="12.75">
      <c r="A281" s="433"/>
      <c r="B281" s="431"/>
      <c r="C281" s="39" t="s">
        <v>4</v>
      </c>
      <c r="D281" s="216">
        <f>+D279</f>
        <v>8640</v>
      </c>
      <c r="E281" s="216">
        <f>+E279</f>
        <v>8640</v>
      </c>
      <c r="F281" s="22"/>
      <c r="G281" s="35"/>
    </row>
    <row r="282" spans="1:7" s="3" customFormat="1" ht="12.75">
      <c r="A282" s="433"/>
      <c r="B282" s="431"/>
      <c r="C282" s="39" t="s">
        <v>3</v>
      </c>
      <c r="D282" s="177">
        <f>+D280</f>
        <v>6906.15</v>
      </c>
      <c r="E282" s="177">
        <f>+E280</f>
        <v>6906.15</v>
      </c>
      <c r="F282" s="22"/>
      <c r="G282" s="35"/>
    </row>
    <row r="283" spans="1:7" s="3" customFormat="1" ht="13.5" thickBot="1">
      <c r="A283" s="435"/>
      <c r="B283" s="432"/>
      <c r="C283" s="40" t="s">
        <v>199</v>
      </c>
      <c r="D283" s="75">
        <f>D278+D279-D280</f>
        <v>3382.99</v>
      </c>
      <c r="E283" s="178">
        <f>D283</f>
        <v>3382.99</v>
      </c>
      <c r="F283" s="23"/>
      <c r="G283" s="36"/>
    </row>
    <row r="284" spans="1:5" s="3" customFormat="1" ht="13.5" customHeight="1" hidden="1">
      <c r="A284" s="428" t="s">
        <v>32</v>
      </c>
      <c r="B284" s="429" t="s">
        <v>19</v>
      </c>
      <c r="C284" s="32" t="s">
        <v>99</v>
      </c>
      <c r="D284" s="86"/>
      <c r="E284" s="90">
        <f aca="true" t="shared" si="7" ref="E284:E325">SUM(D284:D284)</f>
        <v>0</v>
      </c>
    </row>
    <row r="285" spans="1:5" s="3" customFormat="1" ht="13.5" customHeight="1" hidden="1" thickBot="1">
      <c r="A285" s="428"/>
      <c r="B285" s="429"/>
      <c r="C285" s="32" t="s">
        <v>1</v>
      </c>
      <c r="D285" s="86"/>
      <c r="E285" s="86">
        <f t="shared" si="7"/>
        <v>0</v>
      </c>
    </row>
    <row r="286" spans="1:5" s="3" customFormat="1" ht="13.5" customHeight="1" hidden="1" thickBot="1">
      <c r="A286" s="428"/>
      <c r="B286" s="429"/>
      <c r="C286" s="32" t="s">
        <v>2</v>
      </c>
      <c r="D286" s="86"/>
      <c r="E286" s="86">
        <f t="shared" si="7"/>
        <v>0</v>
      </c>
    </row>
    <row r="287" spans="1:5" s="3" customFormat="1" ht="13.5" customHeight="1" hidden="1" thickBot="1">
      <c r="A287" s="428"/>
      <c r="B287" s="429"/>
      <c r="C287" s="32" t="s">
        <v>4</v>
      </c>
      <c r="D287" s="112">
        <f>D285</f>
        <v>0</v>
      </c>
      <c r="E287" s="86">
        <f t="shared" si="7"/>
        <v>0</v>
      </c>
    </row>
    <row r="288" spans="1:5" s="3" customFormat="1" ht="13.5" customHeight="1" hidden="1" thickBot="1">
      <c r="A288" s="428"/>
      <c r="B288" s="429"/>
      <c r="C288" s="32" t="s">
        <v>3</v>
      </c>
      <c r="D288" s="112">
        <f>D285</f>
        <v>0</v>
      </c>
      <c r="E288" s="86">
        <f t="shared" si="7"/>
        <v>0</v>
      </c>
    </row>
    <row r="289" spans="1:5" s="3" customFormat="1" ht="13.5" customHeight="1" hidden="1" thickBot="1">
      <c r="A289" s="428"/>
      <c r="B289" s="429"/>
      <c r="C289" s="18" t="s">
        <v>101</v>
      </c>
      <c r="D289" s="110">
        <f>D284+D285-D286</f>
        <v>0</v>
      </c>
      <c r="E289" s="110">
        <f t="shared" si="7"/>
        <v>0</v>
      </c>
    </row>
    <row r="290" spans="1:5" s="3" customFormat="1" ht="13.5" customHeight="1" hidden="1" thickBot="1">
      <c r="A290" s="428" t="s">
        <v>46</v>
      </c>
      <c r="B290" s="429" t="s">
        <v>38</v>
      </c>
      <c r="C290" s="32" t="s">
        <v>99</v>
      </c>
      <c r="D290" s="86"/>
      <c r="E290" s="86">
        <f t="shared" si="7"/>
        <v>0</v>
      </c>
    </row>
    <row r="291" spans="1:5" s="3" customFormat="1" ht="13.5" customHeight="1" hidden="1" thickBot="1">
      <c r="A291" s="428"/>
      <c r="B291" s="429"/>
      <c r="C291" s="32" t="s">
        <v>1</v>
      </c>
      <c r="D291" s="86"/>
      <c r="E291" s="86">
        <f t="shared" si="7"/>
        <v>0</v>
      </c>
    </row>
    <row r="292" spans="1:5" s="3" customFormat="1" ht="13.5" customHeight="1" hidden="1" thickBot="1">
      <c r="A292" s="428"/>
      <c r="B292" s="429"/>
      <c r="C292" s="32" t="s">
        <v>2</v>
      </c>
      <c r="D292" s="86"/>
      <c r="E292" s="86">
        <f t="shared" si="7"/>
        <v>0</v>
      </c>
    </row>
    <row r="293" spans="1:5" s="3" customFormat="1" ht="13.5" customHeight="1" hidden="1" thickBot="1">
      <c r="A293" s="428"/>
      <c r="B293" s="429"/>
      <c r="C293" s="32" t="s">
        <v>4</v>
      </c>
      <c r="D293" s="86"/>
      <c r="E293" s="86">
        <f t="shared" si="7"/>
        <v>0</v>
      </c>
    </row>
    <row r="294" spans="1:5" s="3" customFormat="1" ht="13.5" customHeight="1" hidden="1" thickBot="1">
      <c r="A294" s="428"/>
      <c r="B294" s="429"/>
      <c r="C294" s="32" t="s">
        <v>3</v>
      </c>
      <c r="D294" s="110"/>
      <c r="E294" s="86">
        <f t="shared" si="7"/>
        <v>0</v>
      </c>
    </row>
    <row r="295" spans="1:5" s="3" customFormat="1" ht="13.5" customHeight="1" hidden="1" thickBot="1">
      <c r="A295" s="428"/>
      <c r="B295" s="429"/>
      <c r="C295" s="18" t="s">
        <v>101</v>
      </c>
      <c r="D295" s="110">
        <f>D290+D291-D292</f>
        <v>0</v>
      </c>
      <c r="E295" s="110">
        <f t="shared" si="7"/>
        <v>0</v>
      </c>
    </row>
    <row r="296" spans="1:5" s="3" customFormat="1" ht="13.5" customHeight="1" hidden="1" thickBot="1">
      <c r="A296" s="428" t="s">
        <v>79</v>
      </c>
      <c r="B296" s="429" t="s">
        <v>38</v>
      </c>
      <c r="C296" s="32" t="s">
        <v>99</v>
      </c>
      <c r="D296" s="86">
        <f>-931.98-61.66</f>
        <v>-993.64</v>
      </c>
      <c r="E296" s="86">
        <f t="shared" si="7"/>
        <v>-993.64</v>
      </c>
    </row>
    <row r="297" spans="1:5" s="3" customFormat="1" ht="13.5" customHeight="1" hidden="1" thickBot="1">
      <c r="A297" s="428"/>
      <c r="B297" s="429"/>
      <c r="C297" s="32" t="s">
        <v>1</v>
      </c>
      <c r="D297" s="86">
        <v>0</v>
      </c>
      <c r="E297" s="86">
        <f t="shared" si="7"/>
        <v>0</v>
      </c>
    </row>
    <row r="298" spans="1:5" s="3" customFormat="1" ht="13.5" customHeight="1" hidden="1" thickBot="1">
      <c r="A298" s="428"/>
      <c r="B298" s="429"/>
      <c r="C298" s="32" t="s">
        <v>2</v>
      </c>
      <c r="D298" s="86">
        <v>0</v>
      </c>
      <c r="E298" s="86">
        <f t="shared" si="7"/>
        <v>0</v>
      </c>
    </row>
    <row r="299" spans="1:5" s="3" customFormat="1" ht="12.75" customHeight="1" hidden="1">
      <c r="A299" s="428"/>
      <c r="B299" s="429"/>
      <c r="C299" s="32" t="s">
        <v>4</v>
      </c>
      <c r="D299" s="112">
        <f>D297</f>
        <v>0</v>
      </c>
      <c r="E299" s="86">
        <f t="shared" si="7"/>
        <v>0</v>
      </c>
    </row>
    <row r="300" spans="1:5" s="3" customFormat="1" ht="13.5" customHeight="1" hidden="1" thickBot="1">
      <c r="A300" s="428"/>
      <c r="B300" s="429"/>
      <c r="C300" s="32" t="s">
        <v>3</v>
      </c>
      <c r="D300" s="112">
        <f>D297</f>
        <v>0</v>
      </c>
      <c r="E300" s="86">
        <f t="shared" si="7"/>
        <v>0</v>
      </c>
    </row>
    <row r="301" spans="1:5" s="3" customFormat="1" ht="13.5" customHeight="1" hidden="1" thickBot="1">
      <c r="A301" s="428"/>
      <c r="B301" s="429"/>
      <c r="C301" s="18" t="s">
        <v>101</v>
      </c>
      <c r="D301" s="110">
        <f>D296+D297-D298</f>
        <v>-993.64</v>
      </c>
      <c r="E301" s="110">
        <f t="shared" si="7"/>
        <v>-993.64</v>
      </c>
    </row>
    <row r="302" spans="1:5" s="24" customFormat="1" ht="13.5" customHeight="1" hidden="1" thickBot="1">
      <c r="A302" s="428" t="s">
        <v>25</v>
      </c>
      <c r="B302" s="429" t="s">
        <v>26</v>
      </c>
      <c r="C302" s="32" t="s">
        <v>99</v>
      </c>
      <c r="D302" s="112"/>
      <c r="E302" s="86">
        <f t="shared" si="7"/>
        <v>0</v>
      </c>
    </row>
    <row r="303" spans="1:5" s="24" customFormat="1" ht="13.5" customHeight="1" hidden="1" thickBot="1">
      <c r="A303" s="428"/>
      <c r="B303" s="429"/>
      <c r="C303" s="32" t="s">
        <v>1</v>
      </c>
      <c r="D303" s="112"/>
      <c r="E303" s="86">
        <f t="shared" si="7"/>
        <v>0</v>
      </c>
    </row>
    <row r="304" spans="1:5" s="24" customFormat="1" ht="13.5" customHeight="1" hidden="1" thickBot="1">
      <c r="A304" s="428"/>
      <c r="B304" s="429"/>
      <c r="C304" s="32" t="s">
        <v>2</v>
      </c>
      <c r="D304" s="112"/>
      <c r="E304" s="86">
        <f t="shared" si="7"/>
        <v>0</v>
      </c>
    </row>
    <row r="305" spans="1:5" s="24" customFormat="1" ht="13.5" customHeight="1" hidden="1" thickBot="1">
      <c r="A305" s="428"/>
      <c r="B305" s="429"/>
      <c r="C305" s="32" t="s">
        <v>4</v>
      </c>
      <c r="D305" s="112">
        <f>D303</f>
        <v>0</v>
      </c>
      <c r="E305" s="86">
        <f t="shared" si="7"/>
        <v>0</v>
      </c>
    </row>
    <row r="306" spans="1:5" s="24" customFormat="1" ht="13.5" customHeight="1" hidden="1" thickBot="1">
      <c r="A306" s="428"/>
      <c r="B306" s="429"/>
      <c r="C306" s="32" t="s">
        <v>3</v>
      </c>
      <c r="D306" s="112">
        <f>D303</f>
        <v>0</v>
      </c>
      <c r="E306" s="86">
        <f t="shared" si="7"/>
        <v>0</v>
      </c>
    </row>
    <row r="307" spans="1:5" s="3" customFormat="1" ht="13.5" customHeight="1" hidden="1" thickBot="1">
      <c r="A307" s="428"/>
      <c r="B307" s="429"/>
      <c r="C307" s="18" t="s">
        <v>101</v>
      </c>
      <c r="D307" s="110">
        <f>D302+D303-D304</f>
        <v>0</v>
      </c>
      <c r="E307" s="110">
        <f t="shared" si="7"/>
        <v>0</v>
      </c>
    </row>
    <row r="308" spans="1:5" s="3" customFormat="1" ht="13.5" customHeight="1" hidden="1" thickBot="1">
      <c r="A308" s="428" t="s">
        <v>35</v>
      </c>
      <c r="B308" s="429" t="s">
        <v>55</v>
      </c>
      <c r="C308" s="32" t="s">
        <v>99</v>
      </c>
      <c r="D308" s="86"/>
      <c r="E308" s="86">
        <f t="shared" si="7"/>
        <v>0</v>
      </c>
    </row>
    <row r="309" spans="1:5" s="3" customFormat="1" ht="13.5" customHeight="1" hidden="1" thickBot="1">
      <c r="A309" s="428"/>
      <c r="B309" s="429"/>
      <c r="C309" s="32" t="s">
        <v>1</v>
      </c>
      <c r="D309" s="86"/>
      <c r="E309" s="86">
        <f t="shared" si="7"/>
        <v>0</v>
      </c>
    </row>
    <row r="310" spans="1:5" s="3" customFormat="1" ht="13.5" customHeight="1" hidden="1" thickBot="1">
      <c r="A310" s="428"/>
      <c r="B310" s="429"/>
      <c r="C310" s="32" t="s">
        <v>2</v>
      </c>
      <c r="D310" s="86"/>
      <c r="E310" s="86">
        <f t="shared" si="7"/>
        <v>0</v>
      </c>
    </row>
    <row r="311" spans="1:5" s="3" customFormat="1" ht="13.5" customHeight="1" hidden="1" thickBot="1">
      <c r="A311" s="428"/>
      <c r="B311" s="429"/>
      <c r="C311" s="32" t="s">
        <v>4</v>
      </c>
      <c r="D311" s="112">
        <f>D309</f>
        <v>0</v>
      </c>
      <c r="E311" s="86">
        <f t="shared" si="7"/>
        <v>0</v>
      </c>
    </row>
    <row r="312" spans="1:5" s="3" customFormat="1" ht="13.5" customHeight="1" hidden="1" thickBot="1">
      <c r="A312" s="428"/>
      <c r="B312" s="429"/>
      <c r="C312" s="32" t="s">
        <v>3</v>
      </c>
      <c r="D312" s="112">
        <f>D309</f>
        <v>0</v>
      </c>
      <c r="E312" s="86">
        <f t="shared" si="7"/>
        <v>0</v>
      </c>
    </row>
    <row r="313" spans="1:5" s="3" customFormat="1" ht="13.5" customHeight="1" hidden="1" thickBot="1">
      <c r="A313" s="428"/>
      <c r="B313" s="429"/>
      <c r="C313" s="18" t="s">
        <v>101</v>
      </c>
      <c r="D313" s="110">
        <f>D308+D309-D310</f>
        <v>0</v>
      </c>
      <c r="E313" s="110">
        <f t="shared" si="7"/>
        <v>0</v>
      </c>
    </row>
    <row r="314" spans="1:5" s="3" customFormat="1" ht="13.5" customHeight="1" hidden="1" thickBot="1">
      <c r="A314" s="428" t="s">
        <v>35</v>
      </c>
      <c r="B314" s="429" t="s">
        <v>24</v>
      </c>
      <c r="C314" s="32" t="s">
        <v>99</v>
      </c>
      <c r="D314" s="86"/>
      <c r="E314" s="86">
        <f t="shared" si="7"/>
        <v>0</v>
      </c>
    </row>
    <row r="315" spans="1:5" s="3" customFormat="1" ht="13.5" customHeight="1" hidden="1" thickBot="1">
      <c r="A315" s="428"/>
      <c r="B315" s="429"/>
      <c r="C315" s="32" t="s">
        <v>1</v>
      </c>
      <c r="D315" s="86"/>
      <c r="E315" s="86">
        <f t="shared" si="7"/>
        <v>0</v>
      </c>
    </row>
    <row r="316" spans="1:5" s="3" customFormat="1" ht="13.5" customHeight="1" hidden="1" thickBot="1">
      <c r="A316" s="428"/>
      <c r="B316" s="429"/>
      <c r="C316" s="32" t="s">
        <v>2</v>
      </c>
      <c r="D316" s="86"/>
      <c r="E316" s="86">
        <f t="shared" si="7"/>
        <v>0</v>
      </c>
    </row>
    <row r="317" spans="1:5" s="3" customFormat="1" ht="13.5" customHeight="1" hidden="1" thickBot="1">
      <c r="A317" s="428"/>
      <c r="B317" s="429"/>
      <c r="C317" s="32" t="s">
        <v>4</v>
      </c>
      <c r="D317" s="112">
        <f>D321</f>
        <v>0</v>
      </c>
      <c r="E317" s="86">
        <f t="shared" si="7"/>
        <v>0</v>
      </c>
    </row>
    <row r="318" spans="1:5" s="3" customFormat="1" ht="13.5" customHeight="1" hidden="1" thickBot="1">
      <c r="A318" s="428"/>
      <c r="B318" s="429"/>
      <c r="C318" s="32" t="s">
        <v>3</v>
      </c>
      <c r="D318" s="112">
        <f>D321</f>
        <v>0</v>
      </c>
      <c r="E318" s="86">
        <f t="shared" si="7"/>
        <v>0</v>
      </c>
    </row>
    <row r="319" spans="1:5" s="3" customFormat="1" ht="13.5" customHeight="1" hidden="1" thickBot="1">
      <c r="A319" s="428"/>
      <c r="B319" s="429"/>
      <c r="C319" s="18" t="s">
        <v>101</v>
      </c>
      <c r="D319" s="110">
        <f>D314+D315-D316</f>
        <v>0</v>
      </c>
      <c r="E319" s="110">
        <f t="shared" si="7"/>
        <v>0</v>
      </c>
    </row>
    <row r="320" spans="1:5" s="3" customFormat="1" ht="13.5" customHeight="1" hidden="1" thickBot="1">
      <c r="A320" s="428" t="s">
        <v>35</v>
      </c>
      <c r="B320" s="429" t="s">
        <v>44</v>
      </c>
      <c r="C320" s="32" t="s">
        <v>99</v>
      </c>
      <c r="D320" s="86"/>
      <c r="E320" s="86">
        <f t="shared" si="7"/>
        <v>0</v>
      </c>
    </row>
    <row r="321" spans="1:5" s="3" customFormat="1" ht="13.5" customHeight="1" hidden="1" thickBot="1">
      <c r="A321" s="428"/>
      <c r="B321" s="429"/>
      <c r="C321" s="32" t="s">
        <v>1</v>
      </c>
      <c r="D321" s="86"/>
      <c r="E321" s="86">
        <f t="shared" si="7"/>
        <v>0</v>
      </c>
    </row>
    <row r="322" spans="1:5" s="3" customFormat="1" ht="13.5" customHeight="1" hidden="1" thickBot="1">
      <c r="A322" s="428"/>
      <c r="B322" s="429"/>
      <c r="C322" s="32" t="s">
        <v>2</v>
      </c>
      <c r="D322" s="86"/>
      <c r="E322" s="86">
        <f t="shared" si="7"/>
        <v>0</v>
      </c>
    </row>
    <row r="323" spans="1:5" s="3" customFormat="1" ht="13.5" customHeight="1" hidden="1" thickBot="1">
      <c r="A323" s="428"/>
      <c r="B323" s="429"/>
      <c r="C323" s="32" t="s">
        <v>4</v>
      </c>
      <c r="D323" s="112">
        <f>D321</f>
        <v>0</v>
      </c>
      <c r="E323" s="86">
        <f t="shared" si="7"/>
        <v>0</v>
      </c>
    </row>
    <row r="324" spans="1:5" s="3" customFormat="1" ht="13.5" customHeight="1" hidden="1" thickBot="1">
      <c r="A324" s="428"/>
      <c r="B324" s="429"/>
      <c r="C324" s="32" t="s">
        <v>3</v>
      </c>
      <c r="D324" s="112">
        <f>D321</f>
        <v>0</v>
      </c>
      <c r="E324" s="86">
        <f t="shared" si="7"/>
        <v>0</v>
      </c>
    </row>
    <row r="325" spans="1:5" s="3" customFormat="1" ht="13.5" customHeight="1" hidden="1" thickBot="1">
      <c r="A325" s="428"/>
      <c r="B325" s="429"/>
      <c r="C325" s="18" t="s">
        <v>101</v>
      </c>
      <c r="D325" s="114">
        <f>D320+D321-D322</f>
        <v>0</v>
      </c>
      <c r="E325" s="114">
        <f t="shared" si="7"/>
        <v>0</v>
      </c>
    </row>
    <row r="326" spans="1:5" s="24" customFormat="1" ht="12.75">
      <c r="A326" s="393" t="s">
        <v>190</v>
      </c>
      <c r="B326" s="393"/>
      <c r="C326" s="393"/>
      <c r="D326" s="121"/>
      <c r="E326" s="169"/>
    </row>
    <row r="327" spans="1:5" s="24" customFormat="1" ht="12.75">
      <c r="A327" s="503"/>
      <c r="B327" s="504"/>
      <c r="C327" s="347" t="s">
        <v>175</v>
      </c>
      <c r="D327" s="122">
        <f>D278</f>
        <v>1649.14</v>
      </c>
      <c r="E327" s="122">
        <f>E278</f>
        <v>1649.14</v>
      </c>
    </row>
    <row r="328" spans="1:5" s="24" customFormat="1" ht="12.75">
      <c r="A328" s="503"/>
      <c r="B328" s="504"/>
      <c r="C328" s="342" t="s">
        <v>1</v>
      </c>
      <c r="D328" s="122">
        <f aca="true" t="shared" si="8" ref="D328:E332">D279</f>
        <v>8640</v>
      </c>
      <c r="E328" s="122">
        <f t="shared" si="8"/>
        <v>8640</v>
      </c>
    </row>
    <row r="329" spans="1:6" s="24" customFormat="1" ht="12.75">
      <c r="A329" s="503"/>
      <c r="B329" s="504"/>
      <c r="C329" s="342" t="s">
        <v>2</v>
      </c>
      <c r="D329" s="122">
        <f t="shared" si="8"/>
        <v>6906.15</v>
      </c>
      <c r="E329" s="122">
        <f t="shared" si="8"/>
        <v>6906.15</v>
      </c>
      <c r="F329" s="28"/>
    </row>
    <row r="330" spans="1:5" s="24" customFormat="1" ht="12.75">
      <c r="A330" s="503"/>
      <c r="B330" s="504"/>
      <c r="C330" s="342" t="s">
        <v>4</v>
      </c>
      <c r="D330" s="122">
        <f t="shared" si="8"/>
        <v>8640</v>
      </c>
      <c r="E330" s="122">
        <f t="shared" si="8"/>
        <v>8640</v>
      </c>
    </row>
    <row r="331" spans="1:5" s="24" customFormat="1" ht="12.75">
      <c r="A331" s="503"/>
      <c r="B331" s="504"/>
      <c r="C331" s="342" t="s">
        <v>3</v>
      </c>
      <c r="D331" s="122">
        <f t="shared" si="8"/>
        <v>6906.15</v>
      </c>
      <c r="E331" s="122">
        <f t="shared" si="8"/>
        <v>6906.15</v>
      </c>
    </row>
    <row r="332" spans="1:5" s="3" customFormat="1" ht="13.5" thickBot="1">
      <c r="A332" s="505"/>
      <c r="B332" s="506"/>
      <c r="C332" s="346" t="s">
        <v>199</v>
      </c>
      <c r="D332" s="170">
        <f t="shared" si="8"/>
        <v>3382.99</v>
      </c>
      <c r="E332" s="170">
        <f t="shared" si="8"/>
        <v>3382.99</v>
      </c>
    </row>
    <row r="333" spans="1:5" s="24" customFormat="1" ht="12.75">
      <c r="A333" s="393" t="s">
        <v>192</v>
      </c>
      <c r="B333" s="393"/>
      <c r="C333" s="393"/>
      <c r="D333" s="117"/>
      <c r="E333" s="117"/>
    </row>
    <row r="334" spans="1:5" s="24" customFormat="1" ht="12.75">
      <c r="A334" s="503"/>
      <c r="B334" s="504"/>
      <c r="C334" s="343" t="s">
        <v>175</v>
      </c>
      <c r="D334" s="122">
        <f aca="true" t="shared" si="9" ref="D334:E339">D115+D272+D327</f>
        <v>294881.89</v>
      </c>
      <c r="E334" s="122">
        <f t="shared" si="9"/>
        <v>294881.89</v>
      </c>
    </row>
    <row r="335" spans="1:5" s="24" customFormat="1" ht="12.75">
      <c r="A335" s="503"/>
      <c r="B335" s="504"/>
      <c r="C335" s="342" t="s">
        <v>1</v>
      </c>
      <c r="D335" s="122">
        <f t="shared" si="9"/>
        <v>1561787.96</v>
      </c>
      <c r="E335" s="122">
        <f t="shared" si="9"/>
        <v>1561787.96</v>
      </c>
    </row>
    <row r="336" spans="1:5" s="24" customFormat="1" ht="12.75">
      <c r="A336" s="503"/>
      <c r="B336" s="504"/>
      <c r="C336" s="342" t="s">
        <v>2</v>
      </c>
      <c r="D336" s="122">
        <f t="shared" si="9"/>
        <v>1095573.29</v>
      </c>
      <c r="E336" s="122">
        <f t="shared" si="9"/>
        <v>1095573.29</v>
      </c>
    </row>
    <row r="337" spans="1:5" s="24" customFormat="1" ht="12.75">
      <c r="A337" s="503"/>
      <c r="B337" s="504"/>
      <c r="C337" s="342" t="s">
        <v>4</v>
      </c>
      <c r="D337" s="122">
        <f t="shared" si="9"/>
        <v>1504553.21</v>
      </c>
      <c r="E337" s="122">
        <f t="shared" si="9"/>
        <v>1629380.25</v>
      </c>
    </row>
    <row r="338" spans="1:5" s="24" customFormat="1" ht="12.75">
      <c r="A338" s="503"/>
      <c r="B338" s="504"/>
      <c r="C338" s="342" t="s">
        <v>3</v>
      </c>
      <c r="D338" s="122">
        <f t="shared" si="9"/>
        <v>1095573.29</v>
      </c>
      <c r="E338" s="122">
        <f t="shared" si="9"/>
        <v>1095573.29</v>
      </c>
    </row>
    <row r="339" spans="1:5" s="3" customFormat="1" ht="13.5" thickBot="1">
      <c r="A339" s="505"/>
      <c r="B339" s="506"/>
      <c r="C339" s="346" t="s">
        <v>199</v>
      </c>
      <c r="D339" s="170">
        <f t="shared" si="9"/>
        <v>761096.5599999999</v>
      </c>
      <c r="E339" s="171">
        <f t="shared" si="9"/>
        <v>761096.5599999999</v>
      </c>
    </row>
    <row r="340" ht="12.75">
      <c r="D340" s="66"/>
    </row>
  </sheetData>
  <sheetProtection/>
  <mergeCells count="88">
    <mergeCell ref="A66:A89"/>
    <mergeCell ref="B66:B71"/>
    <mergeCell ref="B78:B83"/>
    <mergeCell ref="A115:B120"/>
    <mergeCell ref="A253:A258"/>
    <mergeCell ref="B253:B258"/>
    <mergeCell ref="A247:A252"/>
    <mergeCell ref="B247:B252"/>
    <mergeCell ref="A259:A264"/>
    <mergeCell ref="B259:B264"/>
    <mergeCell ref="B72:B77"/>
    <mergeCell ref="B84:B89"/>
    <mergeCell ref="A114:C114"/>
    <mergeCell ref="B205:B210"/>
    <mergeCell ref="A90:A113"/>
    <mergeCell ref="B90:B95"/>
    <mergeCell ref="B96:B101"/>
    <mergeCell ref="B102:B107"/>
    <mergeCell ref="A2:E2"/>
    <mergeCell ref="A1:E1"/>
    <mergeCell ref="A6:A23"/>
    <mergeCell ref="B6:B11"/>
    <mergeCell ref="B18:B23"/>
    <mergeCell ref="B12:B17"/>
    <mergeCell ref="A3:B5"/>
    <mergeCell ref="C3:C4"/>
    <mergeCell ref="D3:D4"/>
    <mergeCell ref="E3:E4"/>
    <mergeCell ref="B133:B138"/>
    <mergeCell ref="A24:A35"/>
    <mergeCell ref="B24:B29"/>
    <mergeCell ref="B30:B35"/>
    <mergeCell ref="A36:A65"/>
    <mergeCell ref="B36:B41"/>
    <mergeCell ref="B48:B53"/>
    <mergeCell ref="B60:B65"/>
    <mergeCell ref="B54:B59"/>
    <mergeCell ref="B108:B113"/>
    <mergeCell ref="B169:B174"/>
    <mergeCell ref="B139:B144"/>
    <mergeCell ref="A145:A180"/>
    <mergeCell ref="B145:B150"/>
    <mergeCell ref="B151:B156"/>
    <mergeCell ref="B157:B162"/>
    <mergeCell ref="B163:B168"/>
    <mergeCell ref="A121:A144"/>
    <mergeCell ref="B121:B126"/>
    <mergeCell ref="B127:B132"/>
    <mergeCell ref="A193:A210"/>
    <mergeCell ref="B193:B198"/>
    <mergeCell ref="B199:B204"/>
    <mergeCell ref="B175:B180"/>
    <mergeCell ref="A181:A186"/>
    <mergeCell ref="B181:B186"/>
    <mergeCell ref="B265:B270"/>
    <mergeCell ref="A187:A192"/>
    <mergeCell ref="B187:B192"/>
    <mergeCell ref="B217:B222"/>
    <mergeCell ref="A211:A222"/>
    <mergeCell ref="B211:B216"/>
    <mergeCell ref="B223:B228"/>
    <mergeCell ref="B229:B234"/>
    <mergeCell ref="B235:B240"/>
    <mergeCell ref="B241:B246"/>
    <mergeCell ref="A302:A307"/>
    <mergeCell ref="A272:B277"/>
    <mergeCell ref="A284:A289"/>
    <mergeCell ref="B284:B289"/>
    <mergeCell ref="B278:B283"/>
    <mergeCell ref="A278:A283"/>
    <mergeCell ref="A290:A295"/>
    <mergeCell ref="B290:B295"/>
    <mergeCell ref="A334:B339"/>
    <mergeCell ref="A308:A313"/>
    <mergeCell ref="B308:B313"/>
    <mergeCell ref="A314:A319"/>
    <mergeCell ref="B314:B319"/>
    <mergeCell ref="A296:A301"/>
    <mergeCell ref="B296:B301"/>
    <mergeCell ref="B42:B47"/>
    <mergeCell ref="A320:A325"/>
    <mergeCell ref="B320:B325"/>
    <mergeCell ref="A326:C326"/>
    <mergeCell ref="A327:B332"/>
    <mergeCell ref="A333:C333"/>
    <mergeCell ref="B302:B307"/>
    <mergeCell ref="A271:C271"/>
    <mergeCell ref="A265:A27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6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0" sqref="K10"/>
    </sheetView>
  </sheetViews>
  <sheetFormatPr defaultColWidth="9.00390625" defaultRowHeight="12.75"/>
  <cols>
    <col min="1" max="1" width="6.25390625" style="7" customWidth="1"/>
    <col min="2" max="2" width="7.125" style="7" customWidth="1"/>
    <col min="3" max="3" width="22.75390625" style="27" customWidth="1"/>
    <col min="4" max="4" width="12.125" style="27" customWidth="1"/>
    <col min="5" max="5" width="12.375" style="27" customWidth="1"/>
    <col min="6" max="7" width="11.75390625" style="27" customWidth="1"/>
    <col min="8" max="8" width="11.625" style="27" customWidth="1"/>
    <col min="9" max="9" width="11.875" style="27" customWidth="1"/>
    <col min="10" max="10" width="12.00390625" style="27" customWidth="1"/>
    <col min="11" max="11" width="12.375" style="27" customWidth="1"/>
    <col min="12" max="12" width="11.75390625" style="27" customWidth="1"/>
    <col min="13" max="13" width="11.625" style="27" customWidth="1"/>
    <col min="14" max="14" width="11.25390625" style="27" customWidth="1"/>
    <col min="15" max="15" width="11.375" style="27" customWidth="1"/>
    <col min="16" max="16" width="11.625" style="27" customWidth="1"/>
    <col min="17" max="17" width="13.375" style="4" customWidth="1"/>
    <col min="18" max="18" width="12.00390625" style="27" bestFit="1" customWidth="1"/>
    <col min="19" max="16384" width="9.125" style="27" customWidth="1"/>
  </cols>
  <sheetData>
    <row r="1" spans="1:17" s="10" customFormat="1" ht="15.75">
      <c r="A1" s="425" t="s">
        <v>198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17" s="10" customFormat="1" ht="16.5" thickBo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1:17" s="24" customFormat="1" ht="12.75" customHeight="1" thickBot="1">
      <c r="A3" s="480" t="s">
        <v>8</v>
      </c>
      <c r="B3" s="415"/>
      <c r="C3" s="413" t="s">
        <v>182</v>
      </c>
      <c r="D3" s="639" t="s">
        <v>0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631" t="s">
        <v>48</v>
      </c>
    </row>
    <row r="4" spans="1:17" s="25" customFormat="1" ht="33" customHeight="1" thickBot="1" thickTop="1">
      <c r="A4" s="482"/>
      <c r="B4" s="417"/>
      <c r="C4" s="633"/>
      <c r="D4" s="637" t="s">
        <v>80</v>
      </c>
      <c r="E4" s="637" t="s">
        <v>81</v>
      </c>
      <c r="F4" s="637" t="s">
        <v>82</v>
      </c>
      <c r="G4" s="637" t="s">
        <v>86</v>
      </c>
      <c r="H4" s="637" t="s">
        <v>83</v>
      </c>
      <c r="I4" s="637" t="s">
        <v>84</v>
      </c>
      <c r="J4" s="637" t="s">
        <v>85</v>
      </c>
      <c r="K4" s="637" t="s">
        <v>87</v>
      </c>
      <c r="L4" s="637" t="s">
        <v>88</v>
      </c>
      <c r="M4" s="637" t="s">
        <v>90</v>
      </c>
      <c r="N4" s="637" t="s">
        <v>91</v>
      </c>
      <c r="O4" s="637" t="s">
        <v>92</v>
      </c>
      <c r="P4" s="638" t="s">
        <v>93</v>
      </c>
      <c r="Q4" s="634"/>
    </row>
    <row r="5" spans="1:17" s="24" customFormat="1" ht="13.5" customHeight="1" thickBot="1">
      <c r="A5" s="484"/>
      <c r="B5" s="632"/>
      <c r="C5" s="143" t="s">
        <v>9</v>
      </c>
      <c r="D5" s="144">
        <v>1</v>
      </c>
      <c r="E5" s="144">
        <v>2</v>
      </c>
      <c r="F5" s="144">
        <v>3</v>
      </c>
      <c r="G5" s="144">
        <v>4</v>
      </c>
      <c r="H5" s="144">
        <v>5</v>
      </c>
      <c r="I5" s="144">
        <v>6</v>
      </c>
      <c r="J5" s="144">
        <v>7</v>
      </c>
      <c r="K5" s="144">
        <v>8</v>
      </c>
      <c r="L5" s="144">
        <v>9</v>
      </c>
      <c r="M5" s="144">
        <v>10</v>
      </c>
      <c r="N5" s="144">
        <v>11</v>
      </c>
      <c r="O5" s="144">
        <v>12</v>
      </c>
      <c r="P5" s="635">
        <v>13</v>
      </c>
      <c r="Q5" s="636">
        <v>14</v>
      </c>
    </row>
    <row r="6" spans="1:17" s="24" customFormat="1" ht="12.75">
      <c r="A6" s="390" t="s">
        <v>5</v>
      </c>
      <c r="B6" s="475" t="s">
        <v>6</v>
      </c>
      <c r="C6" s="135" t="s">
        <v>175</v>
      </c>
      <c r="D6" s="154">
        <v>76441.69</v>
      </c>
      <c r="E6" s="154">
        <v>153606.94</v>
      </c>
      <c r="F6" s="154">
        <v>90246.44</v>
      </c>
      <c r="G6" s="154">
        <v>95228.31</v>
      </c>
      <c r="H6" s="154">
        <v>129216.51</v>
      </c>
      <c r="I6" s="154">
        <v>72744.66</v>
      </c>
      <c r="J6" s="154">
        <v>96248.15</v>
      </c>
      <c r="K6" s="154">
        <v>109574.9</v>
      </c>
      <c r="L6" s="154">
        <v>129557.7</v>
      </c>
      <c r="M6" s="154">
        <v>57871.73</v>
      </c>
      <c r="N6" s="154">
        <v>126825.05</v>
      </c>
      <c r="O6" s="154">
        <v>127610.68</v>
      </c>
      <c r="P6" s="297">
        <v>94538.55</v>
      </c>
      <c r="Q6" s="90">
        <f aca="true" t="shared" si="0" ref="Q6:Q40">SUM(D6:P6)</f>
        <v>1359711.31</v>
      </c>
    </row>
    <row r="7" spans="1:17" s="24" customFormat="1" ht="12.75">
      <c r="A7" s="391"/>
      <c r="B7" s="471"/>
      <c r="C7" s="128" t="s">
        <v>1</v>
      </c>
      <c r="D7" s="155">
        <v>304865.62</v>
      </c>
      <c r="E7" s="155">
        <v>428882.73</v>
      </c>
      <c r="F7" s="155">
        <v>339165.35</v>
      </c>
      <c r="G7" s="155">
        <v>329613</v>
      </c>
      <c r="H7" s="155">
        <v>287004.38</v>
      </c>
      <c r="I7" s="155">
        <v>315614.25</v>
      </c>
      <c r="J7" s="155">
        <v>380066.55</v>
      </c>
      <c r="K7" s="155">
        <v>432592.2</v>
      </c>
      <c r="L7" s="155">
        <v>356808.75</v>
      </c>
      <c r="M7" s="155">
        <v>240725.12</v>
      </c>
      <c r="N7" s="155">
        <v>446954.95</v>
      </c>
      <c r="O7" s="155">
        <v>409033.58</v>
      </c>
      <c r="P7" s="286">
        <v>288007.08</v>
      </c>
      <c r="Q7" s="86">
        <f t="shared" si="0"/>
        <v>4559333.5600000005</v>
      </c>
    </row>
    <row r="8" spans="1:17" s="24" customFormat="1" ht="12.75">
      <c r="A8" s="391"/>
      <c r="B8" s="471"/>
      <c r="C8" s="128" t="s">
        <v>2</v>
      </c>
      <c r="D8" s="155">
        <v>308073.31</v>
      </c>
      <c r="E8" s="155">
        <v>373316.55</v>
      </c>
      <c r="F8" s="155">
        <v>291118.31</v>
      </c>
      <c r="G8" s="155">
        <v>323545.78</v>
      </c>
      <c r="H8" s="155">
        <v>364228.01</v>
      </c>
      <c r="I8" s="155">
        <v>294242.01</v>
      </c>
      <c r="J8" s="155">
        <v>356292.54</v>
      </c>
      <c r="K8" s="155">
        <v>428902.51</v>
      </c>
      <c r="L8" s="155">
        <v>332012.51</v>
      </c>
      <c r="M8" s="155">
        <v>231656.22</v>
      </c>
      <c r="N8" s="155">
        <v>399042.76</v>
      </c>
      <c r="O8" s="155">
        <v>390502.93</v>
      </c>
      <c r="P8" s="286">
        <v>277968.32</v>
      </c>
      <c r="Q8" s="86">
        <f t="shared" si="0"/>
        <v>4370901.76</v>
      </c>
    </row>
    <row r="9" spans="1:17" s="24" customFormat="1" ht="12.75">
      <c r="A9" s="391"/>
      <c r="B9" s="471"/>
      <c r="C9" s="128" t="s">
        <v>4</v>
      </c>
      <c r="D9" s="155">
        <f>+D7</f>
        <v>304865.62</v>
      </c>
      <c r="E9" s="155">
        <f aca="true" t="shared" si="1" ref="E9:P9">+E7</f>
        <v>428882.73</v>
      </c>
      <c r="F9" s="155">
        <f t="shared" si="1"/>
        <v>339165.35</v>
      </c>
      <c r="G9" s="155">
        <f t="shared" si="1"/>
        <v>329613</v>
      </c>
      <c r="H9" s="155">
        <f t="shared" si="1"/>
        <v>287004.38</v>
      </c>
      <c r="I9" s="155">
        <f t="shared" si="1"/>
        <v>315614.25</v>
      </c>
      <c r="J9" s="155">
        <f t="shared" si="1"/>
        <v>380066.55</v>
      </c>
      <c r="K9" s="155">
        <f t="shared" si="1"/>
        <v>432592.2</v>
      </c>
      <c r="L9" s="155">
        <f t="shared" si="1"/>
        <v>356808.75</v>
      </c>
      <c r="M9" s="155">
        <f t="shared" si="1"/>
        <v>240725.12</v>
      </c>
      <c r="N9" s="155">
        <f t="shared" si="1"/>
        <v>446954.95</v>
      </c>
      <c r="O9" s="155">
        <f t="shared" si="1"/>
        <v>409033.58</v>
      </c>
      <c r="P9" s="286">
        <f t="shared" si="1"/>
        <v>288007.08</v>
      </c>
      <c r="Q9" s="86">
        <f t="shared" si="0"/>
        <v>4559333.5600000005</v>
      </c>
    </row>
    <row r="10" spans="1:17" s="24" customFormat="1" ht="12.75">
      <c r="A10" s="391"/>
      <c r="B10" s="471"/>
      <c r="C10" s="128" t="s">
        <v>3</v>
      </c>
      <c r="D10" s="202">
        <f>+D8</f>
        <v>308073.31</v>
      </c>
      <c r="E10" s="202">
        <f aca="true" t="shared" si="2" ref="E10:P10">+E8</f>
        <v>373316.55</v>
      </c>
      <c r="F10" s="202">
        <f t="shared" si="2"/>
        <v>291118.31</v>
      </c>
      <c r="G10" s="202">
        <f t="shared" si="2"/>
        <v>323545.78</v>
      </c>
      <c r="H10" s="202">
        <f t="shared" si="2"/>
        <v>364228.01</v>
      </c>
      <c r="I10" s="202">
        <f t="shared" si="2"/>
        <v>294242.01</v>
      </c>
      <c r="J10" s="202">
        <f t="shared" si="2"/>
        <v>356292.54</v>
      </c>
      <c r="K10" s="202">
        <f t="shared" si="2"/>
        <v>428902.51</v>
      </c>
      <c r="L10" s="202">
        <f t="shared" si="2"/>
        <v>332012.51</v>
      </c>
      <c r="M10" s="202">
        <f t="shared" si="2"/>
        <v>231656.22</v>
      </c>
      <c r="N10" s="202">
        <f t="shared" si="2"/>
        <v>399042.76</v>
      </c>
      <c r="O10" s="202">
        <f t="shared" si="2"/>
        <v>390502.93</v>
      </c>
      <c r="P10" s="202">
        <f t="shared" si="2"/>
        <v>277968.32</v>
      </c>
      <c r="Q10" s="86">
        <f t="shared" si="0"/>
        <v>4370901.76</v>
      </c>
    </row>
    <row r="11" spans="1:17" s="3" customFormat="1" ht="13.5" thickBot="1">
      <c r="A11" s="391"/>
      <c r="B11" s="472"/>
      <c r="C11" s="140" t="s">
        <v>199</v>
      </c>
      <c r="D11" s="70">
        <f aca="true" t="shared" si="3" ref="D11:P11">D6+D7-D8</f>
        <v>73234</v>
      </c>
      <c r="E11" s="70">
        <f t="shared" si="3"/>
        <v>209173.11999999994</v>
      </c>
      <c r="F11" s="70">
        <f t="shared" si="3"/>
        <v>138293.47999999998</v>
      </c>
      <c r="G11" s="70">
        <f>G6+G7-G8</f>
        <v>101295.52999999997</v>
      </c>
      <c r="H11" s="70">
        <f t="shared" si="3"/>
        <v>51992.880000000005</v>
      </c>
      <c r="I11" s="70">
        <f t="shared" si="3"/>
        <v>94116.90000000002</v>
      </c>
      <c r="J11" s="70">
        <f t="shared" si="3"/>
        <v>120022.15999999997</v>
      </c>
      <c r="K11" s="70">
        <f t="shared" si="3"/>
        <v>113264.58999999997</v>
      </c>
      <c r="L11" s="70">
        <f t="shared" si="3"/>
        <v>154353.94</v>
      </c>
      <c r="M11" s="70">
        <f>M6+M7-M8</f>
        <v>66940.62999999998</v>
      </c>
      <c r="N11" s="70">
        <f t="shared" si="3"/>
        <v>174737.24</v>
      </c>
      <c r="O11" s="70">
        <f t="shared" si="3"/>
        <v>146141.33000000002</v>
      </c>
      <c r="P11" s="180">
        <f t="shared" si="3"/>
        <v>104577.31</v>
      </c>
      <c r="Q11" s="75">
        <f>SUM(D11:P11)</f>
        <v>1548143.1099999999</v>
      </c>
    </row>
    <row r="12" spans="1:17" s="3" customFormat="1" ht="12.75">
      <c r="A12" s="391"/>
      <c r="B12" s="470" t="s">
        <v>7</v>
      </c>
      <c r="C12" s="136" t="s">
        <v>175</v>
      </c>
      <c r="D12" s="168">
        <v>54133.67</v>
      </c>
      <c r="E12" s="168">
        <v>132986.18</v>
      </c>
      <c r="F12" s="168">
        <v>65803.77</v>
      </c>
      <c r="G12" s="168">
        <v>64993.08</v>
      </c>
      <c r="H12" s="168">
        <v>105985.6</v>
      </c>
      <c r="I12" s="168">
        <v>49900.04</v>
      </c>
      <c r="J12" s="168">
        <v>76399.74</v>
      </c>
      <c r="K12" s="168">
        <v>73220.44</v>
      </c>
      <c r="L12" s="168">
        <v>101605.26</v>
      </c>
      <c r="M12" s="168">
        <v>41243.58</v>
      </c>
      <c r="N12" s="168">
        <v>101553.57</v>
      </c>
      <c r="O12" s="168">
        <v>112145.49</v>
      </c>
      <c r="P12" s="285">
        <v>83684.14</v>
      </c>
      <c r="Q12" s="106">
        <f t="shared" si="0"/>
        <v>1063654.5599999998</v>
      </c>
    </row>
    <row r="13" spans="1:17" s="3" customFormat="1" ht="12.75">
      <c r="A13" s="391"/>
      <c r="B13" s="471"/>
      <c r="C13" s="128" t="s">
        <v>1</v>
      </c>
      <c r="D13" s="155">
        <v>254946.93</v>
      </c>
      <c r="E13" s="155">
        <v>371546.3</v>
      </c>
      <c r="F13" s="155">
        <v>279655.79</v>
      </c>
      <c r="G13" s="155">
        <v>295667.66</v>
      </c>
      <c r="H13" s="155">
        <v>247592.64</v>
      </c>
      <c r="I13" s="155">
        <v>276501.15</v>
      </c>
      <c r="J13" s="155">
        <v>317866.56</v>
      </c>
      <c r="K13" s="155">
        <v>351530.4</v>
      </c>
      <c r="L13" s="155">
        <v>306229.17</v>
      </c>
      <c r="M13" s="155">
        <v>208854.63</v>
      </c>
      <c r="N13" s="155">
        <v>374441.47</v>
      </c>
      <c r="O13" s="155">
        <v>371936.22</v>
      </c>
      <c r="P13" s="286">
        <v>262862.7</v>
      </c>
      <c r="Q13" s="86">
        <f t="shared" si="0"/>
        <v>3919631.619999999</v>
      </c>
    </row>
    <row r="14" spans="1:17" s="3" customFormat="1" ht="12.75">
      <c r="A14" s="391"/>
      <c r="B14" s="471"/>
      <c r="C14" s="128" t="s">
        <v>2</v>
      </c>
      <c r="D14" s="155">
        <v>254632.8</v>
      </c>
      <c r="E14" s="155">
        <v>315302.3</v>
      </c>
      <c r="F14" s="155">
        <v>233187.25</v>
      </c>
      <c r="G14" s="155">
        <v>279207.35</v>
      </c>
      <c r="H14" s="155">
        <v>313892.49</v>
      </c>
      <c r="I14" s="155">
        <v>247048.08</v>
      </c>
      <c r="J14" s="155">
        <v>299200.78</v>
      </c>
      <c r="K14" s="155">
        <v>330928.97</v>
      </c>
      <c r="L14" s="155">
        <v>273216.16</v>
      </c>
      <c r="M14" s="155">
        <v>196463.44</v>
      </c>
      <c r="N14" s="155">
        <v>325789.62</v>
      </c>
      <c r="O14" s="155">
        <v>349161.21</v>
      </c>
      <c r="P14" s="286">
        <v>252404.95</v>
      </c>
      <c r="Q14" s="86">
        <f t="shared" si="0"/>
        <v>3670435.4000000004</v>
      </c>
    </row>
    <row r="15" spans="1:17" s="3" customFormat="1" ht="12.75">
      <c r="A15" s="391"/>
      <c r="B15" s="471"/>
      <c r="C15" s="128" t="s">
        <v>4</v>
      </c>
      <c r="D15" s="155">
        <f>+D13</f>
        <v>254946.93</v>
      </c>
      <c r="E15" s="155">
        <f aca="true" t="shared" si="4" ref="E15:P15">+E13</f>
        <v>371546.3</v>
      </c>
      <c r="F15" s="155">
        <f t="shared" si="4"/>
        <v>279655.79</v>
      </c>
      <c r="G15" s="155">
        <f t="shared" si="4"/>
        <v>295667.66</v>
      </c>
      <c r="H15" s="155">
        <f t="shared" si="4"/>
        <v>247592.64</v>
      </c>
      <c r="I15" s="155">
        <f t="shared" si="4"/>
        <v>276501.15</v>
      </c>
      <c r="J15" s="155">
        <f t="shared" si="4"/>
        <v>317866.56</v>
      </c>
      <c r="K15" s="155">
        <f t="shared" si="4"/>
        <v>351530.4</v>
      </c>
      <c r="L15" s="155">
        <f t="shared" si="4"/>
        <v>306229.17</v>
      </c>
      <c r="M15" s="155">
        <f t="shared" si="4"/>
        <v>208854.63</v>
      </c>
      <c r="N15" s="155">
        <f t="shared" si="4"/>
        <v>374441.47</v>
      </c>
      <c r="O15" s="155">
        <f t="shared" si="4"/>
        <v>371936.22</v>
      </c>
      <c r="P15" s="286">
        <f t="shared" si="4"/>
        <v>262862.7</v>
      </c>
      <c r="Q15" s="86">
        <f t="shared" si="0"/>
        <v>3919631.619999999</v>
      </c>
    </row>
    <row r="16" spans="1:17" s="3" customFormat="1" ht="12.75">
      <c r="A16" s="391"/>
      <c r="B16" s="471"/>
      <c r="C16" s="128" t="s">
        <v>3</v>
      </c>
      <c r="D16" s="202">
        <f>+D14</f>
        <v>254632.8</v>
      </c>
      <c r="E16" s="202">
        <f aca="true" t="shared" si="5" ref="E16:P16">+E14</f>
        <v>315302.3</v>
      </c>
      <c r="F16" s="202">
        <f t="shared" si="5"/>
        <v>233187.25</v>
      </c>
      <c r="G16" s="202">
        <v>344555.92</v>
      </c>
      <c r="H16" s="202">
        <f t="shared" si="5"/>
        <v>313892.49</v>
      </c>
      <c r="I16" s="202">
        <f t="shared" si="5"/>
        <v>247048.08</v>
      </c>
      <c r="J16" s="202">
        <f t="shared" si="5"/>
        <v>299200.78</v>
      </c>
      <c r="K16" s="202">
        <f t="shared" si="5"/>
        <v>330928.97</v>
      </c>
      <c r="L16" s="202">
        <f t="shared" si="5"/>
        <v>273216.16</v>
      </c>
      <c r="M16" s="202">
        <v>220555.11</v>
      </c>
      <c r="N16" s="202">
        <f t="shared" si="5"/>
        <v>325789.62</v>
      </c>
      <c r="O16" s="202">
        <f t="shared" si="5"/>
        <v>349161.21</v>
      </c>
      <c r="P16" s="202">
        <f t="shared" si="5"/>
        <v>252404.95</v>
      </c>
      <c r="Q16" s="86">
        <f t="shared" si="0"/>
        <v>3759875.64</v>
      </c>
    </row>
    <row r="17" spans="1:17" s="3" customFormat="1" ht="13.5" thickBot="1">
      <c r="A17" s="391"/>
      <c r="B17" s="472"/>
      <c r="C17" s="140" t="s">
        <v>199</v>
      </c>
      <c r="D17" s="70">
        <f>D12+D13-D14</f>
        <v>54447.79999999999</v>
      </c>
      <c r="E17" s="70">
        <f>E12+E13-E14</f>
        <v>189230.18</v>
      </c>
      <c r="F17" s="70">
        <f>F12+F13-F14</f>
        <v>112272.31</v>
      </c>
      <c r="G17" s="70">
        <f>G12+G13-G14</f>
        <v>81453.39000000001</v>
      </c>
      <c r="H17" s="70">
        <f aca="true" t="shared" si="6" ref="H17:P17">H12+H13-H14</f>
        <v>39685.75</v>
      </c>
      <c r="I17" s="70">
        <f t="shared" si="6"/>
        <v>79353.11000000002</v>
      </c>
      <c r="J17" s="70">
        <f t="shared" si="6"/>
        <v>95065.51999999996</v>
      </c>
      <c r="K17" s="70">
        <f t="shared" si="6"/>
        <v>93821.87000000005</v>
      </c>
      <c r="L17" s="70">
        <f t="shared" si="6"/>
        <v>134618.27000000002</v>
      </c>
      <c r="M17" s="70">
        <f>M12+M13-M14</f>
        <v>53634.77000000002</v>
      </c>
      <c r="N17" s="70">
        <f t="shared" si="6"/>
        <v>150205.41999999998</v>
      </c>
      <c r="O17" s="70">
        <f t="shared" si="6"/>
        <v>134920.49999999994</v>
      </c>
      <c r="P17" s="180">
        <f t="shared" si="6"/>
        <v>94141.89000000001</v>
      </c>
      <c r="Q17" s="75">
        <f>SUM(D17:P17)</f>
        <v>1312850.7800000003</v>
      </c>
    </row>
    <row r="18" spans="1:17" s="24" customFormat="1" ht="13.5" customHeight="1">
      <c r="A18" s="391"/>
      <c r="B18" s="470" t="s">
        <v>138</v>
      </c>
      <c r="C18" s="136" t="s">
        <v>175</v>
      </c>
      <c r="D18" s="168">
        <v>-66.01</v>
      </c>
      <c r="E18" s="168">
        <v>161.12</v>
      </c>
      <c r="F18" s="168">
        <v>214.72</v>
      </c>
      <c r="G18" s="168">
        <v>-110.88</v>
      </c>
      <c r="H18" s="168">
        <v>63.63</v>
      </c>
      <c r="I18" s="168">
        <v>-75.14</v>
      </c>
      <c r="J18" s="168">
        <v>44.31</v>
      </c>
      <c r="K18" s="168">
        <v>-109.03</v>
      </c>
      <c r="L18" s="168">
        <v>10.27</v>
      </c>
      <c r="M18" s="168">
        <v>-52.17</v>
      </c>
      <c r="N18" s="168">
        <v>-35.98</v>
      </c>
      <c r="O18" s="168">
        <v>215.67</v>
      </c>
      <c r="P18" s="285">
        <v>148.62</v>
      </c>
      <c r="Q18" s="106">
        <f t="shared" si="0"/>
        <v>409.13</v>
      </c>
    </row>
    <row r="19" spans="1:17" s="24" customFormat="1" ht="12.75">
      <c r="A19" s="391"/>
      <c r="B19" s="471"/>
      <c r="C19" s="128" t="s">
        <v>1</v>
      </c>
      <c r="D19" s="155">
        <v>74.65</v>
      </c>
      <c r="E19" s="155">
        <v>-140.33</v>
      </c>
      <c r="F19" s="155">
        <v>-196.3</v>
      </c>
      <c r="G19" s="155">
        <v>126.73</v>
      </c>
      <c r="H19" s="155">
        <v>-44.49</v>
      </c>
      <c r="I19" s="155">
        <v>92.28</v>
      </c>
      <c r="J19" s="155">
        <v>-43.51</v>
      </c>
      <c r="K19" s="155">
        <v>189.58</v>
      </c>
      <c r="L19" s="155">
        <v>30.76</v>
      </c>
      <c r="M19" s="155">
        <v>64.33</v>
      </c>
      <c r="N19" s="155">
        <v>50.44</v>
      </c>
      <c r="O19" s="155">
        <v>-143.85</v>
      </c>
      <c r="P19" s="286">
        <v>-82.02</v>
      </c>
      <c r="Q19" s="86">
        <f t="shared" si="0"/>
        <v>-21.729999999999976</v>
      </c>
    </row>
    <row r="20" spans="1:17" s="24" customFormat="1" ht="12.75">
      <c r="A20" s="391"/>
      <c r="B20" s="471"/>
      <c r="C20" s="128" t="s">
        <v>2</v>
      </c>
      <c r="D20" s="155">
        <v>8.64</v>
      </c>
      <c r="E20" s="155">
        <v>20.79</v>
      </c>
      <c r="F20" s="155">
        <v>18.42</v>
      </c>
      <c r="G20" s="155">
        <v>15.85</v>
      </c>
      <c r="H20" s="155">
        <v>19.14</v>
      </c>
      <c r="I20" s="155">
        <v>17.14</v>
      </c>
      <c r="J20" s="155">
        <v>0.8</v>
      </c>
      <c r="K20" s="155">
        <v>80.55</v>
      </c>
      <c r="L20" s="155">
        <v>41.03</v>
      </c>
      <c r="M20" s="155">
        <v>12.16</v>
      </c>
      <c r="N20" s="155">
        <v>14.46</v>
      </c>
      <c r="O20" s="155">
        <v>71.82</v>
      </c>
      <c r="P20" s="286">
        <v>66.6</v>
      </c>
      <c r="Q20" s="86">
        <f t="shared" si="0"/>
        <v>387.4</v>
      </c>
    </row>
    <row r="21" spans="1:17" s="24" customFormat="1" ht="12.75">
      <c r="A21" s="391"/>
      <c r="B21" s="471"/>
      <c r="C21" s="128" t="s">
        <v>4</v>
      </c>
      <c r="D21" s="155">
        <f>+D19</f>
        <v>74.65</v>
      </c>
      <c r="E21" s="155">
        <f aca="true" t="shared" si="7" ref="E21:P21">+E19</f>
        <v>-140.33</v>
      </c>
      <c r="F21" s="155">
        <f t="shared" si="7"/>
        <v>-196.3</v>
      </c>
      <c r="G21" s="155">
        <f t="shared" si="7"/>
        <v>126.73</v>
      </c>
      <c r="H21" s="155">
        <f t="shared" si="7"/>
        <v>-44.49</v>
      </c>
      <c r="I21" s="155">
        <f t="shared" si="7"/>
        <v>92.28</v>
      </c>
      <c r="J21" s="155">
        <f t="shared" si="7"/>
        <v>-43.51</v>
      </c>
      <c r="K21" s="155">
        <f t="shared" si="7"/>
        <v>189.58</v>
      </c>
      <c r="L21" s="155">
        <f t="shared" si="7"/>
        <v>30.76</v>
      </c>
      <c r="M21" s="155">
        <f t="shared" si="7"/>
        <v>64.33</v>
      </c>
      <c r="N21" s="155">
        <f t="shared" si="7"/>
        <v>50.44</v>
      </c>
      <c r="O21" s="155">
        <f t="shared" si="7"/>
        <v>-143.85</v>
      </c>
      <c r="P21" s="286">
        <f t="shared" si="7"/>
        <v>-82.02</v>
      </c>
      <c r="Q21" s="86">
        <f t="shared" si="0"/>
        <v>-21.729999999999976</v>
      </c>
    </row>
    <row r="22" spans="1:17" s="24" customFormat="1" ht="12.75">
      <c r="A22" s="391"/>
      <c r="B22" s="471"/>
      <c r="C22" s="128" t="s">
        <v>3</v>
      </c>
      <c r="D22" s="202">
        <f>+D20</f>
        <v>8.64</v>
      </c>
      <c r="E22" s="202">
        <f aca="true" t="shared" si="8" ref="E22:P22">+E20</f>
        <v>20.79</v>
      </c>
      <c r="F22" s="202">
        <f t="shared" si="8"/>
        <v>18.42</v>
      </c>
      <c r="G22" s="202">
        <f t="shared" si="8"/>
        <v>15.85</v>
      </c>
      <c r="H22" s="202">
        <f t="shared" si="8"/>
        <v>19.14</v>
      </c>
      <c r="I22" s="202">
        <f t="shared" si="8"/>
        <v>17.14</v>
      </c>
      <c r="J22" s="202">
        <f t="shared" si="8"/>
        <v>0.8</v>
      </c>
      <c r="K22" s="202">
        <f t="shared" si="8"/>
        <v>80.55</v>
      </c>
      <c r="L22" s="202">
        <f t="shared" si="8"/>
        <v>41.03</v>
      </c>
      <c r="M22" s="202">
        <f t="shared" si="8"/>
        <v>12.16</v>
      </c>
      <c r="N22" s="202">
        <f t="shared" si="8"/>
        <v>14.46</v>
      </c>
      <c r="O22" s="202">
        <f t="shared" si="8"/>
        <v>71.82</v>
      </c>
      <c r="P22" s="287">
        <f t="shared" si="8"/>
        <v>66.6</v>
      </c>
      <c r="Q22" s="86">
        <f t="shared" si="0"/>
        <v>387.4</v>
      </c>
    </row>
    <row r="23" spans="1:17" s="3" customFormat="1" ht="13.5" thickBot="1">
      <c r="A23" s="391"/>
      <c r="B23" s="472"/>
      <c r="C23" s="140" t="s">
        <v>199</v>
      </c>
      <c r="D23" s="70">
        <f aca="true" t="shared" si="9" ref="D23:P23">D18+D19-D20</f>
        <v>0</v>
      </c>
      <c r="E23" s="70">
        <f t="shared" si="9"/>
        <v>0</v>
      </c>
      <c r="F23" s="70">
        <f t="shared" si="9"/>
        <v>0</v>
      </c>
      <c r="G23" s="70">
        <f>G18+G19-G20</f>
        <v>0</v>
      </c>
      <c r="H23" s="70">
        <f t="shared" si="9"/>
        <v>0</v>
      </c>
      <c r="I23" s="70">
        <f t="shared" si="9"/>
        <v>0</v>
      </c>
      <c r="J23" s="70">
        <f t="shared" si="9"/>
        <v>4.218847493575595E-15</v>
      </c>
      <c r="K23" s="70">
        <f t="shared" si="9"/>
        <v>0</v>
      </c>
      <c r="L23" s="70">
        <f t="shared" si="9"/>
        <v>0</v>
      </c>
      <c r="M23" s="70">
        <f>M18+M19-M20</f>
        <v>0</v>
      </c>
      <c r="N23" s="70">
        <f t="shared" si="9"/>
        <v>0</v>
      </c>
      <c r="O23" s="70">
        <f t="shared" si="9"/>
        <v>0</v>
      </c>
      <c r="P23" s="180">
        <f t="shared" si="9"/>
        <v>0</v>
      </c>
      <c r="Q23" s="75">
        <f>SUM(D23:P23)</f>
        <v>4.218847493575595E-15</v>
      </c>
    </row>
    <row r="24" spans="1:17" s="3" customFormat="1" ht="12.75">
      <c r="A24" s="391" t="s">
        <v>62</v>
      </c>
      <c r="B24" s="470" t="s">
        <v>10</v>
      </c>
      <c r="C24" s="136" t="s">
        <v>175</v>
      </c>
      <c r="D24" s="168">
        <v>267228.81</v>
      </c>
      <c r="E24" s="168">
        <v>549714.59</v>
      </c>
      <c r="F24" s="168">
        <v>603951.64</v>
      </c>
      <c r="G24" s="168">
        <v>65472.57</v>
      </c>
      <c r="H24" s="168">
        <v>404665.68</v>
      </c>
      <c r="I24" s="168">
        <v>294325.7</v>
      </c>
      <c r="J24" s="168">
        <v>406632.37</v>
      </c>
      <c r="K24" s="168">
        <v>206096.25</v>
      </c>
      <c r="L24" s="168">
        <v>282121.24</v>
      </c>
      <c r="M24" s="168">
        <v>98756.78</v>
      </c>
      <c r="N24" s="168">
        <v>233378.17</v>
      </c>
      <c r="O24" s="168">
        <v>407301.57</v>
      </c>
      <c r="P24" s="285">
        <v>320136.26</v>
      </c>
      <c r="Q24" s="106">
        <f t="shared" si="0"/>
        <v>4139781.63</v>
      </c>
    </row>
    <row r="25" spans="1:17" s="3" customFormat="1" ht="12.75">
      <c r="A25" s="391"/>
      <c r="B25" s="471"/>
      <c r="C25" s="128" t="s">
        <v>1</v>
      </c>
      <c r="D25" s="155">
        <v>2850664.62</v>
      </c>
      <c r="E25" s="155">
        <v>2827489.44</v>
      </c>
      <c r="F25" s="155">
        <v>2835088.44</v>
      </c>
      <c r="G25" s="155">
        <v>2360961.88</v>
      </c>
      <c r="H25" s="155">
        <v>2670794.06</v>
      </c>
      <c r="I25" s="155">
        <v>2874142.35</v>
      </c>
      <c r="J25" s="155">
        <v>2812637.64</v>
      </c>
      <c r="K25" s="155">
        <v>4374957.6</v>
      </c>
      <c r="L25" s="155">
        <v>2133759.5</v>
      </c>
      <c r="M25" s="155">
        <v>1988977.72</v>
      </c>
      <c r="N25" s="155">
        <v>2762431.38</v>
      </c>
      <c r="O25" s="155">
        <v>2774757.5</v>
      </c>
      <c r="P25" s="286">
        <v>2129473.23</v>
      </c>
      <c r="Q25" s="86">
        <f t="shared" si="0"/>
        <v>35396135.36</v>
      </c>
    </row>
    <row r="26" spans="1:17" s="3" customFormat="1" ht="12.75">
      <c r="A26" s="391"/>
      <c r="B26" s="471"/>
      <c r="C26" s="128" t="s">
        <v>2</v>
      </c>
      <c r="D26" s="155">
        <v>2861437.33</v>
      </c>
      <c r="E26" s="155">
        <v>2785069.14</v>
      </c>
      <c r="F26" s="155">
        <v>2780216.15</v>
      </c>
      <c r="G26" s="155">
        <v>2679032.77</v>
      </c>
      <c r="H26" s="155">
        <v>2823842.09</v>
      </c>
      <c r="I26" s="155">
        <v>2926068.99</v>
      </c>
      <c r="J26" s="155">
        <v>2755473.06</v>
      </c>
      <c r="K26" s="155">
        <v>4223790.64</v>
      </c>
      <c r="L26" s="155">
        <v>3059666.91</v>
      </c>
      <c r="M26" s="155">
        <v>2123276.21</v>
      </c>
      <c r="N26" s="155">
        <v>3091698.23</v>
      </c>
      <c r="O26" s="155">
        <v>3126732.43</v>
      </c>
      <c r="P26" s="286">
        <v>2157622.12</v>
      </c>
      <c r="Q26" s="86">
        <f t="shared" si="0"/>
        <v>37393926.07</v>
      </c>
    </row>
    <row r="27" spans="1:17" s="3" customFormat="1" ht="12.75">
      <c r="A27" s="391"/>
      <c r="B27" s="471"/>
      <c r="C27" s="128" t="s">
        <v>4</v>
      </c>
      <c r="D27" s="155">
        <f>+D25</f>
        <v>2850664.62</v>
      </c>
      <c r="E27" s="155">
        <f aca="true" t="shared" si="10" ref="E27:P27">+E25</f>
        <v>2827489.44</v>
      </c>
      <c r="F27" s="155">
        <f t="shared" si="10"/>
        <v>2835088.44</v>
      </c>
      <c r="G27" s="155">
        <f t="shared" si="10"/>
        <v>2360961.88</v>
      </c>
      <c r="H27" s="155">
        <f t="shared" si="10"/>
        <v>2670794.06</v>
      </c>
      <c r="I27" s="155">
        <f t="shared" si="10"/>
        <v>2874142.35</v>
      </c>
      <c r="J27" s="155">
        <f t="shared" si="10"/>
        <v>2812637.64</v>
      </c>
      <c r="K27" s="155">
        <f t="shared" si="10"/>
        <v>4374957.6</v>
      </c>
      <c r="L27" s="155">
        <f t="shared" si="10"/>
        <v>2133759.5</v>
      </c>
      <c r="M27" s="155">
        <f t="shared" si="10"/>
        <v>1988977.72</v>
      </c>
      <c r="N27" s="155">
        <f t="shared" si="10"/>
        <v>2762431.38</v>
      </c>
      <c r="O27" s="155">
        <f t="shared" si="10"/>
        <v>2774757.5</v>
      </c>
      <c r="P27" s="286">
        <f t="shared" si="10"/>
        <v>2129473.23</v>
      </c>
      <c r="Q27" s="86">
        <f t="shared" si="0"/>
        <v>35396135.36</v>
      </c>
    </row>
    <row r="28" spans="1:18" s="3" customFormat="1" ht="12.75">
      <c r="A28" s="391"/>
      <c r="B28" s="471"/>
      <c r="C28" s="128" t="s">
        <v>3</v>
      </c>
      <c r="D28" s="202">
        <v>2870689.35</v>
      </c>
      <c r="E28" s="202">
        <f aca="true" t="shared" si="11" ref="E28:P28">+E26</f>
        <v>2785069.14</v>
      </c>
      <c r="F28" s="202">
        <f t="shared" si="11"/>
        <v>2780216.15</v>
      </c>
      <c r="G28" s="202">
        <f t="shared" si="11"/>
        <v>2679032.77</v>
      </c>
      <c r="H28" s="202">
        <f t="shared" si="11"/>
        <v>2823842.09</v>
      </c>
      <c r="I28" s="202">
        <f t="shared" si="11"/>
        <v>2926068.99</v>
      </c>
      <c r="J28" s="202">
        <f t="shared" si="11"/>
        <v>2755473.06</v>
      </c>
      <c r="K28" s="202">
        <f t="shared" si="11"/>
        <v>4223790.64</v>
      </c>
      <c r="L28" s="202">
        <f t="shared" si="11"/>
        <v>3059666.91</v>
      </c>
      <c r="M28" s="202">
        <f t="shared" si="11"/>
        <v>2123276.21</v>
      </c>
      <c r="N28" s="202">
        <f t="shared" si="11"/>
        <v>3091698.23</v>
      </c>
      <c r="O28" s="202">
        <f t="shared" si="11"/>
        <v>3126732.43</v>
      </c>
      <c r="P28" s="202">
        <f t="shared" si="11"/>
        <v>2157622.12</v>
      </c>
      <c r="Q28" s="86">
        <f t="shared" si="0"/>
        <v>37403178.09</v>
      </c>
      <c r="R28" s="64"/>
    </row>
    <row r="29" spans="1:17" s="3" customFormat="1" ht="13.5" thickBot="1">
      <c r="A29" s="391"/>
      <c r="B29" s="472"/>
      <c r="C29" s="140" t="s">
        <v>199</v>
      </c>
      <c r="D29" s="70">
        <f aca="true" t="shared" si="12" ref="D29:P29">D24+D25-D26</f>
        <v>256456.1000000001</v>
      </c>
      <c r="E29" s="70">
        <f t="shared" si="12"/>
        <v>592134.8899999997</v>
      </c>
      <c r="F29" s="70">
        <f t="shared" si="12"/>
        <v>658823.9300000002</v>
      </c>
      <c r="G29" s="70">
        <f>G24+G25-G26</f>
        <v>-252598.3200000003</v>
      </c>
      <c r="H29" s="70">
        <f t="shared" si="12"/>
        <v>251617.65000000037</v>
      </c>
      <c r="I29" s="70">
        <f t="shared" si="12"/>
        <v>242399.06000000006</v>
      </c>
      <c r="J29" s="70">
        <f t="shared" si="12"/>
        <v>463796.9500000002</v>
      </c>
      <c r="K29" s="70">
        <f t="shared" si="12"/>
        <v>357263.20999999996</v>
      </c>
      <c r="L29" s="70">
        <f t="shared" si="12"/>
        <v>-643786.1699999999</v>
      </c>
      <c r="M29" s="70">
        <f>M24+M25-M26</f>
        <v>-35541.70999999996</v>
      </c>
      <c r="N29" s="70">
        <f t="shared" si="12"/>
        <v>-95888.68000000017</v>
      </c>
      <c r="O29" s="70">
        <f t="shared" si="12"/>
        <v>55326.639999999665</v>
      </c>
      <c r="P29" s="180">
        <f t="shared" si="12"/>
        <v>291987.3700000001</v>
      </c>
      <c r="Q29" s="75">
        <f>SUM(D29:P29)</f>
        <v>2141990.92</v>
      </c>
    </row>
    <row r="30" spans="1:17" s="3" customFormat="1" ht="12.75">
      <c r="A30" s="391"/>
      <c r="B30" s="470" t="s">
        <v>12</v>
      </c>
      <c r="C30" s="136" t="s">
        <v>175</v>
      </c>
      <c r="D30" s="168">
        <v>103534.34</v>
      </c>
      <c r="E30" s="168">
        <v>191141.08</v>
      </c>
      <c r="F30" s="168">
        <v>119933.46</v>
      </c>
      <c r="G30" s="168">
        <v>141928.46</v>
      </c>
      <c r="H30" s="168">
        <v>165464.42</v>
      </c>
      <c r="I30" s="168">
        <v>90806.94</v>
      </c>
      <c r="J30" s="168">
        <v>119441.25</v>
      </c>
      <c r="K30" s="168">
        <v>154288.39</v>
      </c>
      <c r="L30" s="168">
        <v>165016.03</v>
      </c>
      <c r="M30" s="168">
        <v>65629.06</v>
      </c>
      <c r="N30" s="168">
        <v>162368.96</v>
      </c>
      <c r="O30" s="168">
        <v>144834.49</v>
      </c>
      <c r="P30" s="285">
        <v>110808.61</v>
      </c>
      <c r="Q30" s="106">
        <f t="shared" si="0"/>
        <v>1735195.49</v>
      </c>
    </row>
    <row r="31" spans="1:17" s="3" customFormat="1" ht="12.75">
      <c r="A31" s="391"/>
      <c r="B31" s="471"/>
      <c r="C31" s="128" t="s">
        <v>1</v>
      </c>
      <c r="D31" s="155">
        <v>404499.71</v>
      </c>
      <c r="E31" s="155">
        <v>533224.54</v>
      </c>
      <c r="F31" s="155">
        <v>434715.94</v>
      </c>
      <c r="G31" s="155">
        <v>381963.16</v>
      </c>
      <c r="H31" s="155">
        <v>346703.06</v>
      </c>
      <c r="I31" s="155">
        <v>383174.53</v>
      </c>
      <c r="J31" s="155">
        <v>501154.6</v>
      </c>
      <c r="K31" s="155">
        <v>599487.69</v>
      </c>
      <c r="L31" s="155">
        <v>450366.99</v>
      </c>
      <c r="M31" s="155">
        <v>299308.33</v>
      </c>
      <c r="N31" s="155">
        <v>587733.58</v>
      </c>
      <c r="O31" s="155">
        <v>461058.38</v>
      </c>
      <c r="P31" s="286">
        <v>322563.54</v>
      </c>
      <c r="Q31" s="86">
        <f t="shared" si="0"/>
        <v>5705954.05</v>
      </c>
    </row>
    <row r="32" spans="1:17" s="3" customFormat="1" ht="12.75">
      <c r="A32" s="391"/>
      <c r="B32" s="471"/>
      <c r="C32" s="128" t="s">
        <v>2</v>
      </c>
      <c r="D32" s="155">
        <v>400225.78</v>
      </c>
      <c r="E32" s="155">
        <v>479507.09</v>
      </c>
      <c r="F32" s="155">
        <v>389964.26</v>
      </c>
      <c r="G32" s="155">
        <v>398567.43</v>
      </c>
      <c r="H32" s="155">
        <v>454150.92</v>
      </c>
      <c r="I32" s="155">
        <v>362142.04</v>
      </c>
      <c r="J32" s="155">
        <v>459733.2</v>
      </c>
      <c r="K32" s="155">
        <v>611328.58</v>
      </c>
      <c r="L32" s="155">
        <v>428397.79</v>
      </c>
      <c r="M32" s="155">
        <v>283465.52</v>
      </c>
      <c r="N32" s="155">
        <v>530635.72</v>
      </c>
      <c r="O32" s="155">
        <v>443068.19</v>
      </c>
      <c r="P32" s="286">
        <v>312139.77</v>
      </c>
      <c r="Q32" s="86">
        <f t="shared" si="0"/>
        <v>5553326.290000001</v>
      </c>
    </row>
    <row r="33" spans="1:17" s="3" customFormat="1" ht="12.75">
      <c r="A33" s="391"/>
      <c r="B33" s="471"/>
      <c r="C33" s="128" t="s">
        <v>4</v>
      </c>
      <c r="D33" s="155">
        <f>+D31</f>
        <v>404499.71</v>
      </c>
      <c r="E33" s="155">
        <f aca="true" t="shared" si="13" ref="E33:P33">+E31</f>
        <v>533224.54</v>
      </c>
      <c r="F33" s="155">
        <f t="shared" si="13"/>
        <v>434715.94</v>
      </c>
      <c r="G33" s="155">
        <f t="shared" si="13"/>
        <v>381963.16</v>
      </c>
      <c r="H33" s="155">
        <f t="shared" si="13"/>
        <v>346703.06</v>
      </c>
      <c r="I33" s="155">
        <f t="shared" si="13"/>
        <v>383174.53</v>
      </c>
      <c r="J33" s="155">
        <f t="shared" si="13"/>
        <v>501154.6</v>
      </c>
      <c r="K33" s="155">
        <f t="shared" si="13"/>
        <v>599487.69</v>
      </c>
      <c r="L33" s="155">
        <f t="shared" si="13"/>
        <v>450366.99</v>
      </c>
      <c r="M33" s="155">
        <f t="shared" si="13"/>
        <v>299308.33</v>
      </c>
      <c r="N33" s="155">
        <f t="shared" si="13"/>
        <v>587733.58</v>
      </c>
      <c r="O33" s="155">
        <f t="shared" si="13"/>
        <v>461058.38</v>
      </c>
      <c r="P33" s="286">
        <f t="shared" si="13"/>
        <v>322563.54</v>
      </c>
      <c r="Q33" s="86">
        <f t="shared" si="0"/>
        <v>5705954.05</v>
      </c>
    </row>
    <row r="34" spans="1:17" s="3" customFormat="1" ht="12.75">
      <c r="A34" s="391"/>
      <c r="B34" s="471"/>
      <c r="C34" s="128" t="s">
        <v>3</v>
      </c>
      <c r="D34" s="202">
        <f>D33+D30</f>
        <v>508034.05000000005</v>
      </c>
      <c r="E34" s="202">
        <f aca="true" t="shared" si="14" ref="E34:P34">+E32</f>
        <v>479507.09</v>
      </c>
      <c r="F34" s="202">
        <f t="shared" si="14"/>
        <v>389964.26</v>
      </c>
      <c r="G34" s="202">
        <f>G33+G30</f>
        <v>523891.62</v>
      </c>
      <c r="H34" s="202">
        <f t="shared" si="14"/>
        <v>454150.92</v>
      </c>
      <c r="I34" s="202">
        <v>376642.43</v>
      </c>
      <c r="J34" s="202">
        <v>489506.92</v>
      </c>
      <c r="K34" s="202">
        <v>681514.38</v>
      </c>
      <c r="L34" s="202">
        <f t="shared" si="14"/>
        <v>428397.79</v>
      </c>
      <c r="M34" s="202">
        <f>M33+M30</f>
        <v>364937.39</v>
      </c>
      <c r="N34" s="202">
        <v>532265.48</v>
      </c>
      <c r="O34" s="202">
        <f t="shared" si="14"/>
        <v>443068.19</v>
      </c>
      <c r="P34" s="202">
        <f t="shared" si="14"/>
        <v>312139.77</v>
      </c>
      <c r="Q34" s="86">
        <f t="shared" si="0"/>
        <v>5984020.290000001</v>
      </c>
    </row>
    <row r="35" spans="1:17" s="3" customFormat="1" ht="13.5" thickBot="1">
      <c r="A35" s="391"/>
      <c r="B35" s="472"/>
      <c r="C35" s="140" t="s">
        <v>199</v>
      </c>
      <c r="D35" s="70">
        <f>D30+D31-D32</f>
        <v>107808.27000000002</v>
      </c>
      <c r="E35" s="70">
        <f>E30+E31-E32</f>
        <v>244858.52999999997</v>
      </c>
      <c r="F35" s="70">
        <f>F30+F31-F32</f>
        <v>164685.14</v>
      </c>
      <c r="G35" s="70">
        <f>G30+G31-G32</f>
        <v>125324.19</v>
      </c>
      <c r="H35" s="70">
        <f aca="true" t="shared" si="15" ref="H35:P35">H30+H31-H32</f>
        <v>58016.56</v>
      </c>
      <c r="I35" s="70">
        <f t="shared" si="15"/>
        <v>111839.43000000005</v>
      </c>
      <c r="J35" s="70">
        <f t="shared" si="15"/>
        <v>160862.64999999997</v>
      </c>
      <c r="K35" s="70">
        <f t="shared" si="15"/>
        <v>142447.5</v>
      </c>
      <c r="L35" s="70">
        <f t="shared" si="15"/>
        <v>186985.23000000004</v>
      </c>
      <c r="M35" s="70">
        <f>M30+M31-M32</f>
        <v>81471.87</v>
      </c>
      <c r="N35" s="70">
        <f>N30+N31-N32</f>
        <v>219466.81999999995</v>
      </c>
      <c r="O35" s="70">
        <f t="shared" si="15"/>
        <v>162824.68</v>
      </c>
      <c r="P35" s="180">
        <f t="shared" si="15"/>
        <v>121232.37999999995</v>
      </c>
      <c r="Q35" s="75">
        <f>SUM(D35:P35)</f>
        <v>1887823.2499999998</v>
      </c>
    </row>
    <row r="36" spans="1:17" s="3" customFormat="1" ht="12.75">
      <c r="A36" s="391"/>
      <c r="B36" s="470" t="s">
        <v>139</v>
      </c>
      <c r="C36" s="136" t="s">
        <v>175</v>
      </c>
      <c r="D36" s="168">
        <v>-103.31</v>
      </c>
      <c r="E36" s="168">
        <v>257.21</v>
      </c>
      <c r="F36" s="168">
        <v>342.75</v>
      </c>
      <c r="G36" s="168">
        <v>-173.34</v>
      </c>
      <c r="H36" s="168">
        <v>102.84</v>
      </c>
      <c r="I36" s="168">
        <v>-118</v>
      </c>
      <c r="J36" s="168">
        <v>72.41</v>
      </c>
      <c r="K36" s="168">
        <v>-169.81</v>
      </c>
      <c r="L36" s="168">
        <v>18.8</v>
      </c>
      <c r="M36" s="168">
        <v>-82.19</v>
      </c>
      <c r="N36" s="168">
        <v>-55.63</v>
      </c>
      <c r="O36" s="168">
        <v>343.24</v>
      </c>
      <c r="P36" s="285">
        <v>234.76</v>
      </c>
      <c r="Q36" s="106">
        <f t="shared" si="0"/>
        <v>669.73</v>
      </c>
    </row>
    <row r="37" spans="1:17" s="3" customFormat="1" ht="12.75">
      <c r="A37" s="391"/>
      <c r="B37" s="471"/>
      <c r="C37" s="128" t="s">
        <v>1</v>
      </c>
      <c r="D37" s="155">
        <v>116.8</v>
      </c>
      <c r="E37" s="155">
        <v>-224.61</v>
      </c>
      <c r="F37" s="155">
        <v>-313.65</v>
      </c>
      <c r="G37" s="155">
        <v>198.23</v>
      </c>
      <c r="H37" s="155">
        <v>-72.63</v>
      </c>
      <c r="I37" s="155">
        <v>144.94</v>
      </c>
      <c r="J37" s="155">
        <v>-71.15</v>
      </c>
      <c r="K37" s="155">
        <v>296.2</v>
      </c>
      <c r="L37" s="155">
        <v>45.47</v>
      </c>
      <c r="M37" s="155">
        <v>101.26</v>
      </c>
      <c r="N37" s="155">
        <v>78.34</v>
      </c>
      <c r="O37" s="155">
        <v>-229.87</v>
      </c>
      <c r="P37" s="286">
        <v>-129.64</v>
      </c>
      <c r="Q37" s="86">
        <f t="shared" si="0"/>
        <v>-60.31000000000006</v>
      </c>
    </row>
    <row r="38" spans="1:17" s="3" customFormat="1" ht="12.75">
      <c r="A38" s="391"/>
      <c r="B38" s="471"/>
      <c r="C38" s="128" t="s">
        <v>2</v>
      </c>
      <c r="D38" s="155">
        <v>13.49</v>
      </c>
      <c r="E38" s="155">
        <v>32.6</v>
      </c>
      <c r="F38" s="155">
        <v>29.1</v>
      </c>
      <c r="G38" s="155">
        <v>24.89</v>
      </c>
      <c r="H38" s="155">
        <v>30.21</v>
      </c>
      <c r="I38" s="155">
        <v>26.94</v>
      </c>
      <c r="J38" s="155">
        <v>1.26</v>
      </c>
      <c r="K38" s="155">
        <v>126.39</v>
      </c>
      <c r="L38" s="155">
        <v>64.27</v>
      </c>
      <c r="M38" s="155">
        <v>19.07</v>
      </c>
      <c r="N38" s="155">
        <v>22.71</v>
      </c>
      <c r="O38" s="155">
        <v>113.37</v>
      </c>
      <c r="P38" s="286">
        <v>105.12</v>
      </c>
      <c r="Q38" s="86">
        <f t="shared" si="0"/>
        <v>609.42</v>
      </c>
    </row>
    <row r="39" spans="1:17" s="3" customFormat="1" ht="12.75">
      <c r="A39" s="391"/>
      <c r="B39" s="471"/>
      <c r="C39" s="128" t="s">
        <v>4</v>
      </c>
      <c r="D39" s="155">
        <f>+D37</f>
        <v>116.8</v>
      </c>
      <c r="E39" s="155">
        <f aca="true" t="shared" si="16" ref="E39:P39">+E37</f>
        <v>-224.61</v>
      </c>
      <c r="F39" s="155">
        <f t="shared" si="16"/>
        <v>-313.65</v>
      </c>
      <c r="G39" s="155">
        <f t="shared" si="16"/>
        <v>198.23</v>
      </c>
      <c r="H39" s="155">
        <f t="shared" si="16"/>
        <v>-72.63</v>
      </c>
      <c r="I39" s="155">
        <f t="shared" si="16"/>
        <v>144.94</v>
      </c>
      <c r="J39" s="155">
        <f t="shared" si="16"/>
        <v>-71.15</v>
      </c>
      <c r="K39" s="155">
        <f t="shared" si="16"/>
        <v>296.2</v>
      </c>
      <c r="L39" s="155">
        <f t="shared" si="16"/>
        <v>45.47</v>
      </c>
      <c r="M39" s="155">
        <f t="shared" si="16"/>
        <v>101.26</v>
      </c>
      <c r="N39" s="155">
        <f t="shared" si="16"/>
        <v>78.34</v>
      </c>
      <c r="O39" s="155">
        <f t="shared" si="16"/>
        <v>-229.87</v>
      </c>
      <c r="P39" s="286">
        <f t="shared" si="16"/>
        <v>-129.64</v>
      </c>
      <c r="Q39" s="86">
        <f t="shared" si="0"/>
        <v>-60.31000000000006</v>
      </c>
    </row>
    <row r="40" spans="1:17" s="3" customFormat="1" ht="12.75">
      <c r="A40" s="391"/>
      <c r="B40" s="471"/>
      <c r="C40" s="128" t="s">
        <v>3</v>
      </c>
      <c r="D40" s="202">
        <f>+D38</f>
        <v>13.49</v>
      </c>
      <c r="E40" s="202">
        <f aca="true" t="shared" si="17" ref="E40:P40">+E38</f>
        <v>32.6</v>
      </c>
      <c r="F40" s="202">
        <f t="shared" si="17"/>
        <v>29.1</v>
      </c>
      <c r="G40" s="202">
        <f t="shared" si="17"/>
        <v>24.89</v>
      </c>
      <c r="H40" s="202">
        <f t="shared" si="17"/>
        <v>30.21</v>
      </c>
      <c r="I40" s="202">
        <f t="shared" si="17"/>
        <v>26.94</v>
      </c>
      <c r="J40" s="202">
        <f t="shared" si="17"/>
        <v>1.26</v>
      </c>
      <c r="K40" s="202">
        <f t="shared" si="17"/>
        <v>126.39</v>
      </c>
      <c r="L40" s="202">
        <f t="shared" si="17"/>
        <v>64.27</v>
      </c>
      <c r="M40" s="202">
        <f t="shared" si="17"/>
        <v>19.07</v>
      </c>
      <c r="N40" s="202">
        <f t="shared" si="17"/>
        <v>22.71</v>
      </c>
      <c r="O40" s="202">
        <f t="shared" si="17"/>
        <v>113.37</v>
      </c>
      <c r="P40" s="287">
        <f t="shared" si="17"/>
        <v>105.12</v>
      </c>
      <c r="Q40" s="86">
        <f t="shared" si="0"/>
        <v>609.42</v>
      </c>
    </row>
    <row r="41" spans="1:17" s="3" customFormat="1" ht="13.5" thickBot="1">
      <c r="A41" s="391"/>
      <c r="B41" s="472"/>
      <c r="C41" s="140" t="s">
        <v>199</v>
      </c>
      <c r="D41" s="70">
        <f aca="true" t="shared" si="18" ref="D41:P41">D36+D37-D38</f>
        <v>0</v>
      </c>
      <c r="E41" s="70">
        <f t="shared" si="18"/>
        <v>0</v>
      </c>
      <c r="F41" s="70">
        <f t="shared" si="18"/>
        <v>0</v>
      </c>
      <c r="G41" s="70">
        <f>G36+G37-G38</f>
        <v>0</v>
      </c>
      <c r="H41" s="70">
        <f t="shared" si="18"/>
        <v>0</v>
      </c>
      <c r="I41" s="70">
        <f t="shared" si="18"/>
        <v>0</v>
      </c>
      <c r="J41" s="70">
        <f t="shared" si="18"/>
        <v>-9.103828801926284E-15</v>
      </c>
      <c r="K41" s="70">
        <f t="shared" si="18"/>
        <v>0</v>
      </c>
      <c r="L41" s="70">
        <f t="shared" si="18"/>
        <v>0</v>
      </c>
      <c r="M41" s="70">
        <f>M36+M37-M38</f>
        <v>0</v>
      </c>
      <c r="N41" s="70">
        <f t="shared" si="18"/>
        <v>0</v>
      </c>
      <c r="O41" s="70">
        <f t="shared" si="18"/>
        <v>0</v>
      </c>
      <c r="P41" s="180">
        <f t="shared" si="18"/>
        <v>0</v>
      </c>
      <c r="Q41" s="75">
        <f aca="true" t="shared" si="19" ref="Q41:Q47">SUM(D41:P41)</f>
        <v>-9.103828801926284E-15</v>
      </c>
    </row>
    <row r="42" spans="1:17" s="3" customFormat="1" ht="13.5" customHeight="1">
      <c r="A42" s="520" t="s">
        <v>11</v>
      </c>
      <c r="B42" s="470" t="s">
        <v>155</v>
      </c>
      <c r="C42" s="136" t="s">
        <v>175</v>
      </c>
      <c r="D42" s="207"/>
      <c r="E42" s="207"/>
      <c r="F42" s="207"/>
      <c r="G42" s="207"/>
      <c r="H42" s="207">
        <v>-84.6</v>
      </c>
      <c r="I42" s="207"/>
      <c r="J42" s="207"/>
      <c r="K42" s="168">
        <f>-3267.72-1105.2-1729.05</f>
        <v>-6101.97</v>
      </c>
      <c r="L42" s="168">
        <f>1004.58-111.97-1420.27</f>
        <v>-527.66</v>
      </c>
      <c r="M42" s="207"/>
      <c r="N42" s="207"/>
      <c r="O42" s="207"/>
      <c r="P42" s="288"/>
      <c r="Q42" s="106">
        <f t="shared" si="19"/>
        <v>-6714.2300000000005</v>
      </c>
    </row>
    <row r="43" spans="1:17" s="3" customFormat="1" ht="12.75">
      <c r="A43" s="521"/>
      <c r="B43" s="471"/>
      <c r="C43" s="128" t="s">
        <v>1</v>
      </c>
      <c r="D43" s="201"/>
      <c r="E43" s="201"/>
      <c r="F43" s="201"/>
      <c r="G43" s="201"/>
      <c r="H43" s="201">
        <v>84.6</v>
      </c>
      <c r="I43" s="201"/>
      <c r="J43" s="201"/>
      <c r="K43" s="155">
        <f>4613.62+1105.29+1729.04</f>
        <v>7447.95</v>
      </c>
      <c r="L43" s="155">
        <f>105.92+111.97+1420.27</f>
        <v>1638.1599999999999</v>
      </c>
      <c r="M43" s="201"/>
      <c r="N43" s="201"/>
      <c r="O43" s="201"/>
      <c r="P43" s="289"/>
      <c r="Q43" s="86">
        <f t="shared" si="19"/>
        <v>9170.71</v>
      </c>
    </row>
    <row r="44" spans="1:17" s="3" customFormat="1" ht="12.75">
      <c r="A44" s="521"/>
      <c r="B44" s="471"/>
      <c r="C44" s="128" t="s">
        <v>2</v>
      </c>
      <c r="D44" s="201"/>
      <c r="E44" s="201"/>
      <c r="F44" s="201"/>
      <c r="G44" s="201"/>
      <c r="H44" s="155">
        <v>0</v>
      </c>
      <c r="I44" s="201"/>
      <c r="J44" s="201"/>
      <c r="K44" s="155">
        <f>1345.9-0.01</f>
        <v>1345.89</v>
      </c>
      <c r="L44" s="155">
        <v>1110.5</v>
      </c>
      <c r="M44" s="201"/>
      <c r="N44" s="201"/>
      <c r="O44" s="201"/>
      <c r="P44" s="289"/>
      <c r="Q44" s="86">
        <f t="shared" si="19"/>
        <v>2456.3900000000003</v>
      </c>
    </row>
    <row r="45" spans="1:17" s="3" customFormat="1" ht="12.75">
      <c r="A45" s="521"/>
      <c r="B45" s="471"/>
      <c r="C45" s="128" t="s">
        <v>4</v>
      </c>
      <c r="D45" s="155"/>
      <c r="E45" s="155"/>
      <c r="F45" s="155"/>
      <c r="G45" s="155"/>
      <c r="H45" s="155">
        <f>+H43</f>
        <v>84.6</v>
      </c>
      <c r="I45" s="155"/>
      <c r="J45" s="155"/>
      <c r="K45" s="155">
        <f>+K43</f>
        <v>7447.95</v>
      </c>
      <c r="L45" s="155">
        <f>+L43</f>
        <v>1638.1599999999999</v>
      </c>
      <c r="M45" s="155"/>
      <c r="N45" s="155"/>
      <c r="O45" s="155"/>
      <c r="P45" s="286"/>
      <c r="Q45" s="86">
        <f t="shared" si="19"/>
        <v>9170.71</v>
      </c>
    </row>
    <row r="46" spans="1:17" s="3" customFormat="1" ht="12.75">
      <c r="A46" s="521"/>
      <c r="B46" s="471"/>
      <c r="C46" s="128" t="s">
        <v>3</v>
      </c>
      <c r="D46" s="202"/>
      <c r="E46" s="202"/>
      <c r="F46" s="202"/>
      <c r="G46" s="202"/>
      <c r="H46" s="202">
        <f>+H44</f>
        <v>0</v>
      </c>
      <c r="I46" s="202"/>
      <c r="J46" s="202"/>
      <c r="K46" s="202">
        <f>+K44</f>
        <v>1345.89</v>
      </c>
      <c r="L46" s="202">
        <f>+L44</f>
        <v>1110.5</v>
      </c>
      <c r="M46" s="202"/>
      <c r="N46" s="202"/>
      <c r="O46" s="202"/>
      <c r="P46" s="287"/>
      <c r="Q46" s="86">
        <f t="shared" si="19"/>
        <v>2456.3900000000003</v>
      </c>
    </row>
    <row r="47" spans="1:17" s="3" customFormat="1" ht="13.5" thickBot="1">
      <c r="A47" s="521"/>
      <c r="B47" s="472"/>
      <c r="C47" s="140" t="s">
        <v>199</v>
      </c>
      <c r="D47" s="70"/>
      <c r="E47" s="70"/>
      <c r="F47" s="70"/>
      <c r="G47" s="70"/>
      <c r="H47" s="70">
        <f>H42+H43-H44</f>
        <v>0</v>
      </c>
      <c r="I47" s="70"/>
      <c r="J47" s="70"/>
      <c r="K47" s="70">
        <f>K42+K43-K44</f>
        <v>0.0899999999994634</v>
      </c>
      <c r="L47" s="70">
        <f>L42+L43-L44</f>
        <v>0</v>
      </c>
      <c r="M47" s="70"/>
      <c r="N47" s="70"/>
      <c r="O47" s="70"/>
      <c r="P47" s="180"/>
      <c r="Q47" s="75">
        <f t="shared" si="19"/>
        <v>0.0899999999994634</v>
      </c>
    </row>
    <row r="48" spans="1:17" s="3" customFormat="1" ht="12.75">
      <c r="A48" s="521"/>
      <c r="B48" s="470" t="s">
        <v>132</v>
      </c>
      <c r="C48" s="136" t="s">
        <v>175</v>
      </c>
      <c r="D48" s="168">
        <f>-4426.33-42.63</f>
        <v>-4468.96</v>
      </c>
      <c r="E48" s="168">
        <f>4506.36-66.54</f>
        <v>4439.82</v>
      </c>
      <c r="F48" s="168">
        <f>5587.17-24.33</f>
        <v>5562.84</v>
      </c>
      <c r="G48" s="168">
        <f>-5425.48-47.75</f>
        <v>-5473.23</v>
      </c>
      <c r="H48" s="168">
        <f>1248.08-15.54</f>
        <v>1232.54</v>
      </c>
      <c r="I48" s="168">
        <f>-4862.59-45.82</f>
        <v>-4908.41</v>
      </c>
      <c r="J48" s="168">
        <f>+-10336.4+-19.86</f>
        <v>-10356.26</v>
      </c>
      <c r="K48" s="168">
        <f>-375.49-3579.27-2030.27-59.24</f>
        <v>-6044.27</v>
      </c>
      <c r="L48" s="168">
        <f>-349.88-2051.58+241.44-33.83</f>
        <v>-2193.85</v>
      </c>
      <c r="M48" s="168">
        <f>-2802.16-30.35</f>
        <v>-2832.5099999999998</v>
      </c>
      <c r="N48" s="168">
        <f>-4737.16-54.38</f>
        <v>-4791.54</v>
      </c>
      <c r="O48" s="168">
        <f>1155.74-39.33</f>
        <v>1116.41</v>
      </c>
      <c r="P48" s="285">
        <f>503.61-30.26</f>
        <v>473.35</v>
      </c>
      <c r="Q48" s="106">
        <f aca="true" t="shared" si="20" ref="Q48:Q58">SUM(D48:P48)</f>
        <v>-28244.07</v>
      </c>
    </row>
    <row r="49" spans="1:17" s="3" customFormat="1" ht="12.75">
      <c r="A49" s="521"/>
      <c r="B49" s="471"/>
      <c r="C49" s="128" t="s">
        <v>1</v>
      </c>
      <c r="D49" s="155">
        <f>4590.16+42.63</f>
        <v>4632.79</v>
      </c>
      <c r="E49" s="155">
        <f>-4076.86+66.68</f>
        <v>-4010.1800000000003</v>
      </c>
      <c r="F49" s="155">
        <f>-5088.56+25.14</f>
        <v>-5063.42</v>
      </c>
      <c r="G49" s="155">
        <f>5725.72+47.75</f>
        <v>5773.47</v>
      </c>
      <c r="H49" s="155">
        <f>-672.53+17.44</f>
        <v>-655.0899999999999</v>
      </c>
      <c r="I49" s="155">
        <f>5187.57+45.82</f>
        <v>5233.389999999999</v>
      </c>
      <c r="J49" s="155">
        <f>10336.4+19.86</f>
        <v>10356.26</v>
      </c>
      <c r="K49" s="155">
        <f>381.96+3579.27+3560.04+59.24</f>
        <v>7580.51</v>
      </c>
      <c r="L49" s="155">
        <f>349.89+2051.58+532.78+33.83</f>
        <v>2968.08</v>
      </c>
      <c r="M49" s="155">
        <f>2963.1+30.35</f>
        <v>2993.45</v>
      </c>
      <c r="N49" s="155">
        <f>5010.94+54.38</f>
        <v>5065.32</v>
      </c>
      <c r="O49" s="155">
        <f>216.31+39.33</f>
        <v>255.64</v>
      </c>
      <c r="P49" s="286">
        <f>768.05+30.26</f>
        <v>798.31</v>
      </c>
      <c r="Q49" s="86">
        <f t="shared" si="20"/>
        <v>35928.53</v>
      </c>
    </row>
    <row r="50" spans="1:17" s="3" customFormat="1" ht="12.75" customHeight="1">
      <c r="A50" s="521"/>
      <c r="B50" s="471"/>
      <c r="C50" s="128" t="s">
        <v>2</v>
      </c>
      <c r="D50" s="155">
        <v>163.83</v>
      </c>
      <c r="E50" s="155">
        <f>429.5+0.14</f>
        <v>429.64</v>
      </c>
      <c r="F50" s="155">
        <f>498.61+0.81</f>
        <v>499.42</v>
      </c>
      <c r="G50" s="155">
        <v>300.24</v>
      </c>
      <c r="H50" s="155">
        <f>575.55+1.9</f>
        <v>577.4499999999999</v>
      </c>
      <c r="I50" s="155">
        <v>324.98</v>
      </c>
      <c r="J50" s="155">
        <v>0</v>
      </c>
      <c r="K50" s="155">
        <f>6.47+1529.77</f>
        <v>1536.24</v>
      </c>
      <c r="L50" s="155">
        <f>0.01+774.22</f>
        <v>774.23</v>
      </c>
      <c r="M50" s="155">
        <v>160.94</v>
      </c>
      <c r="N50" s="155">
        <v>273.78</v>
      </c>
      <c r="O50" s="155">
        <v>1372.05</v>
      </c>
      <c r="P50" s="286">
        <v>1271.66</v>
      </c>
      <c r="Q50" s="86">
        <f t="shared" si="20"/>
        <v>7684.46</v>
      </c>
    </row>
    <row r="51" spans="1:17" s="3" customFormat="1" ht="12.75">
      <c r="A51" s="521"/>
      <c r="B51" s="471"/>
      <c r="C51" s="128" t="s">
        <v>4</v>
      </c>
      <c r="D51" s="155">
        <f>+D49</f>
        <v>4632.79</v>
      </c>
      <c r="E51" s="155">
        <f aca="true" t="shared" si="21" ref="E51:P51">+E49</f>
        <v>-4010.1800000000003</v>
      </c>
      <c r="F51" s="155">
        <f t="shared" si="21"/>
        <v>-5063.42</v>
      </c>
      <c r="G51" s="155">
        <f t="shared" si="21"/>
        <v>5773.47</v>
      </c>
      <c r="H51" s="155">
        <f t="shared" si="21"/>
        <v>-655.0899999999999</v>
      </c>
      <c r="I51" s="155">
        <f t="shared" si="21"/>
        <v>5233.389999999999</v>
      </c>
      <c r="J51" s="155">
        <f t="shared" si="21"/>
        <v>10356.26</v>
      </c>
      <c r="K51" s="155">
        <f t="shared" si="21"/>
        <v>7580.51</v>
      </c>
      <c r="L51" s="155">
        <f t="shared" si="21"/>
        <v>2968.08</v>
      </c>
      <c r="M51" s="155">
        <f t="shared" si="21"/>
        <v>2993.45</v>
      </c>
      <c r="N51" s="155">
        <f t="shared" si="21"/>
        <v>5065.32</v>
      </c>
      <c r="O51" s="155">
        <f t="shared" si="21"/>
        <v>255.64</v>
      </c>
      <c r="P51" s="286">
        <f t="shared" si="21"/>
        <v>798.31</v>
      </c>
      <c r="Q51" s="86">
        <f t="shared" si="20"/>
        <v>35928.53</v>
      </c>
    </row>
    <row r="52" spans="1:17" s="3" customFormat="1" ht="12.75">
      <c r="A52" s="521"/>
      <c r="B52" s="471"/>
      <c r="C52" s="128" t="s">
        <v>3</v>
      </c>
      <c r="D52" s="202">
        <f>+D50</f>
        <v>163.83</v>
      </c>
      <c r="E52" s="202">
        <f aca="true" t="shared" si="22" ref="E52:P52">+E50</f>
        <v>429.64</v>
      </c>
      <c r="F52" s="202">
        <f t="shared" si="22"/>
        <v>499.42</v>
      </c>
      <c r="G52" s="202">
        <f t="shared" si="22"/>
        <v>300.24</v>
      </c>
      <c r="H52" s="202">
        <f t="shared" si="22"/>
        <v>577.4499999999999</v>
      </c>
      <c r="I52" s="202">
        <f t="shared" si="22"/>
        <v>324.98</v>
      </c>
      <c r="J52" s="202">
        <f t="shared" si="22"/>
        <v>0</v>
      </c>
      <c r="K52" s="202">
        <f t="shared" si="22"/>
        <v>1536.24</v>
      </c>
      <c r="L52" s="202">
        <f t="shared" si="22"/>
        <v>774.23</v>
      </c>
      <c r="M52" s="202">
        <f t="shared" si="22"/>
        <v>160.94</v>
      </c>
      <c r="N52" s="202">
        <f t="shared" si="22"/>
        <v>273.78</v>
      </c>
      <c r="O52" s="202">
        <f t="shared" si="22"/>
        <v>1372.05</v>
      </c>
      <c r="P52" s="287">
        <f t="shared" si="22"/>
        <v>1271.66</v>
      </c>
      <c r="Q52" s="86">
        <f t="shared" si="20"/>
        <v>7684.46</v>
      </c>
    </row>
    <row r="53" spans="1:17" s="3" customFormat="1" ht="13.5" thickBot="1">
      <c r="A53" s="522"/>
      <c r="B53" s="472"/>
      <c r="C53" s="140" t="s">
        <v>199</v>
      </c>
      <c r="D53" s="70">
        <f>D48+D49-D50</f>
        <v>0</v>
      </c>
      <c r="E53" s="70">
        <f>E48+E49-E50</f>
        <v>-5.684341886080801E-13</v>
      </c>
      <c r="F53" s="70">
        <f>F48+F49-F50</f>
        <v>0</v>
      </c>
      <c r="G53" s="70">
        <f>G48+G49-G50</f>
        <v>6.821210263296962E-13</v>
      </c>
      <c r="H53" s="70">
        <f aca="true" t="shared" si="23" ref="H53:P53">H48+H49-H50</f>
        <v>0</v>
      </c>
      <c r="I53" s="70">
        <f t="shared" si="23"/>
        <v>-4.547473508864641E-13</v>
      </c>
      <c r="J53" s="70">
        <f t="shared" si="23"/>
        <v>0</v>
      </c>
      <c r="K53" s="70">
        <f t="shared" si="23"/>
        <v>0</v>
      </c>
      <c r="L53" s="70">
        <f t="shared" si="23"/>
        <v>0</v>
      </c>
      <c r="M53" s="70">
        <f>M48+M49-M50</f>
        <v>0</v>
      </c>
      <c r="N53" s="70">
        <f t="shared" si="23"/>
        <v>0</v>
      </c>
      <c r="O53" s="70">
        <f t="shared" si="23"/>
        <v>0</v>
      </c>
      <c r="P53" s="180">
        <f t="shared" si="23"/>
        <v>0</v>
      </c>
      <c r="Q53" s="75">
        <f t="shared" si="20"/>
        <v>-3.410605131648481E-13</v>
      </c>
    </row>
    <row r="54" spans="1:17" s="24" customFormat="1" ht="12.75" customHeight="1">
      <c r="A54" s="391" t="s">
        <v>13</v>
      </c>
      <c r="B54" s="470" t="s">
        <v>14</v>
      </c>
      <c r="C54" s="136" t="s">
        <v>175</v>
      </c>
      <c r="D54" s="168">
        <v>19906.52</v>
      </c>
      <c r="E54" s="168">
        <v>49555.3</v>
      </c>
      <c r="F54" s="168">
        <v>35284.27</v>
      </c>
      <c r="G54" s="168">
        <v>15795.18</v>
      </c>
      <c r="H54" s="168">
        <v>54833.3</v>
      </c>
      <c r="I54" s="168">
        <v>25259.96</v>
      </c>
      <c r="J54" s="168">
        <v>25562.82</v>
      </c>
      <c r="K54" s="168">
        <v>28114.87</v>
      </c>
      <c r="L54" s="168">
        <v>32419.52</v>
      </c>
      <c r="M54" s="168">
        <v>-2756.34</v>
      </c>
      <c r="N54" s="168">
        <v>34311.58</v>
      </c>
      <c r="O54" s="168">
        <v>36281.06</v>
      </c>
      <c r="P54" s="285">
        <f>-1537.05+30356.62</f>
        <v>28819.57</v>
      </c>
      <c r="Q54" s="106">
        <f t="shared" si="20"/>
        <v>383387.61</v>
      </c>
    </row>
    <row r="55" spans="1:17" s="24" customFormat="1" ht="15.75" customHeight="1">
      <c r="A55" s="391"/>
      <c r="B55" s="471"/>
      <c r="C55" s="128" t="s">
        <v>1</v>
      </c>
      <c r="D55" s="155">
        <v>172730.76</v>
      </c>
      <c r="E55" s="155">
        <v>195301.03</v>
      </c>
      <c r="F55" s="155">
        <v>179190.02</v>
      </c>
      <c r="G55" s="155">
        <v>193805.36</v>
      </c>
      <c r="H55" s="155">
        <v>185027.31</v>
      </c>
      <c r="I55" s="155">
        <v>188906.51</v>
      </c>
      <c r="J55" s="155">
        <v>193010.79</v>
      </c>
      <c r="K55" s="155">
        <v>244690.67</v>
      </c>
      <c r="L55" s="155">
        <v>194570.87</v>
      </c>
      <c r="M55" s="155">
        <v>0</v>
      </c>
      <c r="N55" s="155">
        <v>215590.51</v>
      </c>
      <c r="O55" s="155">
        <v>208318.98</v>
      </c>
      <c r="P55" s="286">
        <f>1537.07+151035.45</f>
        <v>152572.52000000002</v>
      </c>
      <c r="Q55" s="86">
        <f t="shared" si="20"/>
        <v>2323715.33</v>
      </c>
    </row>
    <row r="56" spans="1:17" s="24" customFormat="1" ht="12.75">
      <c r="A56" s="391"/>
      <c r="B56" s="471"/>
      <c r="C56" s="128" t="s">
        <v>2</v>
      </c>
      <c r="D56" s="155">
        <v>172374.56</v>
      </c>
      <c r="E56" s="155">
        <v>190714.36</v>
      </c>
      <c r="F56" s="155">
        <v>178888.01</v>
      </c>
      <c r="G56" s="155">
        <v>191369.28</v>
      </c>
      <c r="H56" s="155">
        <v>208443.47</v>
      </c>
      <c r="I56" s="155">
        <v>190882.26</v>
      </c>
      <c r="J56" s="155">
        <v>184446.82</v>
      </c>
      <c r="K56" s="155">
        <v>245514.19</v>
      </c>
      <c r="L56" s="155">
        <v>192046.13</v>
      </c>
      <c r="M56" s="155">
        <v>-117.66</v>
      </c>
      <c r="N56" s="155">
        <v>212209.82</v>
      </c>
      <c r="O56" s="155">
        <v>209445.32</v>
      </c>
      <c r="P56" s="286">
        <v>152584.93</v>
      </c>
      <c r="Q56" s="86">
        <f t="shared" si="20"/>
        <v>2328801.49</v>
      </c>
    </row>
    <row r="57" spans="1:17" s="24" customFormat="1" ht="12.75">
      <c r="A57" s="391"/>
      <c r="B57" s="471"/>
      <c r="C57" s="128" t="s">
        <v>4</v>
      </c>
      <c r="D57" s="155">
        <f>+D55</f>
        <v>172730.76</v>
      </c>
      <c r="E57" s="155">
        <f aca="true" t="shared" si="24" ref="E57:P57">+E55</f>
        <v>195301.03</v>
      </c>
      <c r="F57" s="155">
        <f t="shared" si="24"/>
        <v>179190.02</v>
      </c>
      <c r="G57" s="155">
        <f t="shared" si="24"/>
        <v>193805.36</v>
      </c>
      <c r="H57" s="155">
        <f t="shared" si="24"/>
        <v>185027.31</v>
      </c>
      <c r="I57" s="155">
        <f t="shared" si="24"/>
        <v>188906.51</v>
      </c>
      <c r="J57" s="155">
        <f t="shared" si="24"/>
        <v>193010.79</v>
      </c>
      <c r="K57" s="155">
        <f t="shared" si="24"/>
        <v>244690.67</v>
      </c>
      <c r="L57" s="155">
        <f t="shared" si="24"/>
        <v>194570.87</v>
      </c>
      <c r="M57" s="155">
        <f>+M55</f>
        <v>0</v>
      </c>
      <c r="N57" s="155">
        <f t="shared" si="24"/>
        <v>215590.51</v>
      </c>
      <c r="O57" s="155">
        <f t="shared" si="24"/>
        <v>208318.98</v>
      </c>
      <c r="P57" s="286">
        <f t="shared" si="24"/>
        <v>152572.52000000002</v>
      </c>
      <c r="Q57" s="86">
        <f t="shared" si="20"/>
        <v>2323715.33</v>
      </c>
    </row>
    <row r="58" spans="1:17" s="24" customFormat="1" ht="12.75">
      <c r="A58" s="391"/>
      <c r="B58" s="471"/>
      <c r="C58" s="128" t="s">
        <v>3</v>
      </c>
      <c r="D58" s="202">
        <f>+D56</f>
        <v>172374.56</v>
      </c>
      <c r="E58" s="202">
        <f aca="true" t="shared" si="25" ref="E58:P58">+E56</f>
        <v>190714.36</v>
      </c>
      <c r="F58" s="202">
        <f t="shared" si="25"/>
        <v>178888.01</v>
      </c>
      <c r="G58" s="202">
        <f t="shared" si="25"/>
        <v>191369.28</v>
      </c>
      <c r="H58" s="202">
        <f t="shared" si="25"/>
        <v>208443.47</v>
      </c>
      <c r="I58" s="202">
        <f t="shared" si="25"/>
        <v>190882.26</v>
      </c>
      <c r="J58" s="202">
        <f t="shared" si="25"/>
        <v>184446.82</v>
      </c>
      <c r="K58" s="202">
        <f t="shared" si="25"/>
        <v>245514.19</v>
      </c>
      <c r="L58" s="202">
        <f t="shared" si="25"/>
        <v>192046.13</v>
      </c>
      <c r="M58" s="202">
        <f>+M56</f>
        <v>-117.66</v>
      </c>
      <c r="N58" s="202">
        <f t="shared" si="25"/>
        <v>212209.82</v>
      </c>
      <c r="O58" s="202">
        <f t="shared" si="25"/>
        <v>209445.32</v>
      </c>
      <c r="P58" s="287">
        <f t="shared" si="25"/>
        <v>152584.93</v>
      </c>
      <c r="Q58" s="86">
        <f t="shared" si="20"/>
        <v>2328801.49</v>
      </c>
    </row>
    <row r="59" spans="1:17" s="3" customFormat="1" ht="13.5" thickBot="1">
      <c r="A59" s="391"/>
      <c r="B59" s="472"/>
      <c r="C59" s="140" t="s">
        <v>199</v>
      </c>
      <c r="D59" s="70">
        <f aca="true" t="shared" si="26" ref="D59:P59">D54+D55-D56</f>
        <v>20262.72</v>
      </c>
      <c r="E59" s="70">
        <f t="shared" si="26"/>
        <v>54141.97000000003</v>
      </c>
      <c r="F59" s="70">
        <f>F54+F55-F56</f>
        <v>35586.27999999997</v>
      </c>
      <c r="G59" s="70">
        <f>G54+G55-G56</f>
        <v>18231.25999999998</v>
      </c>
      <c r="H59" s="70">
        <f t="shared" si="26"/>
        <v>31417.139999999985</v>
      </c>
      <c r="I59" s="70">
        <f t="shared" si="26"/>
        <v>23284.209999999992</v>
      </c>
      <c r="J59" s="70">
        <f t="shared" si="26"/>
        <v>34126.79000000001</v>
      </c>
      <c r="K59" s="70">
        <f>K54+K55-K56</f>
        <v>27291.350000000035</v>
      </c>
      <c r="L59" s="70">
        <f t="shared" si="26"/>
        <v>34944.25999999998</v>
      </c>
      <c r="M59" s="70">
        <f t="shared" si="26"/>
        <v>-2638.6800000000003</v>
      </c>
      <c r="N59" s="70">
        <f t="shared" si="26"/>
        <v>37692.27000000002</v>
      </c>
      <c r="O59" s="70">
        <f t="shared" si="26"/>
        <v>35154.72</v>
      </c>
      <c r="P59" s="180">
        <f t="shared" si="26"/>
        <v>28807.160000000033</v>
      </c>
      <c r="Q59" s="75">
        <f aca="true" t="shared" si="27" ref="Q59:Q68">SUM(D59:P59)</f>
        <v>378301.45000000007</v>
      </c>
    </row>
    <row r="60" spans="1:17" s="24" customFormat="1" ht="12.75">
      <c r="A60" s="391"/>
      <c r="B60" s="470" t="s">
        <v>15</v>
      </c>
      <c r="C60" s="136" t="s">
        <v>175</v>
      </c>
      <c r="D60" s="168">
        <v>3698.92</v>
      </c>
      <c r="E60" s="168">
        <f>-4.76+7847.8</f>
        <v>7843.04</v>
      </c>
      <c r="F60" s="168">
        <f>-5.1+7581.76</f>
        <v>7576.66</v>
      </c>
      <c r="G60" s="168">
        <f>541.45+3385.27</f>
        <v>3926.7200000000003</v>
      </c>
      <c r="H60" s="168">
        <v>7903.87</v>
      </c>
      <c r="I60" s="168">
        <v>4446.61</v>
      </c>
      <c r="J60" s="168">
        <f>-9.5+7747.65</f>
        <v>7738.15</v>
      </c>
      <c r="K60" s="168">
        <v>7457.17</v>
      </c>
      <c r="L60" s="168">
        <f>-9.5+5425.04</f>
        <v>5415.54</v>
      </c>
      <c r="M60" s="168">
        <v>-349.76</v>
      </c>
      <c r="N60" s="168">
        <v>7232.16</v>
      </c>
      <c r="O60" s="168">
        <v>9624.96</v>
      </c>
      <c r="P60" s="285">
        <f>-0.01+6113.29</f>
        <v>6113.28</v>
      </c>
      <c r="Q60" s="106">
        <f t="shared" si="27"/>
        <v>78627.32</v>
      </c>
    </row>
    <row r="61" spans="1:17" s="24" customFormat="1" ht="12.75">
      <c r="A61" s="391"/>
      <c r="B61" s="471"/>
      <c r="C61" s="128" t="s">
        <v>1</v>
      </c>
      <c r="D61" s="155">
        <v>41328.96</v>
      </c>
      <c r="E61" s="155">
        <f>4.76+40988.2</f>
        <v>40992.96</v>
      </c>
      <c r="F61" s="155">
        <f>5.1+41098.02</f>
        <v>41103.119999999995</v>
      </c>
      <c r="G61" s="155">
        <f>-541.45+41537.28</f>
        <v>40995.83</v>
      </c>
      <c r="H61" s="155">
        <v>38302.1</v>
      </c>
      <c r="I61" s="155">
        <v>41657.7</v>
      </c>
      <c r="J61" s="155">
        <f>9.5+40768.1</f>
        <v>40777.6</v>
      </c>
      <c r="K61" s="155">
        <v>63108.48</v>
      </c>
      <c r="L61" s="155">
        <f>9.5+46866.34</f>
        <v>46875.84</v>
      </c>
      <c r="M61" s="155">
        <v>349.76</v>
      </c>
      <c r="N61" s="155">
        <v>48187.2</v>
      </c>
      <c r="O61" s="155">
        <v>47131.66</v>
      </c>
      <c r="P61" s="286">
        <f>0.01+32897.53</f>
        <v>32897.54</v>
      </c>
      <c r="Q61" s="86">
        <f t="shared" si="27"/>
        <v>523708.74999999994</v>
      </c>
    </row>
    <row r="62" spans="1:17" s="24" customFormat="1" ht="12.75">
      <c r="A62" s="391"/>
      <c r="B62" s="471"/>
      <c r="C62" s="128" t="s">
        <v>2</v>
      </c>
      <c r="D62" s="155">
        <v>41568.33</v>
      </c>
      <c r="E62" s="155">
        <v>40443.61</v>
      </c>
      <c r="F62" s="155">
        <v>39848.87</v>
      </c>
      <c r="G62" s="155">
        <v>41257.24</v>
      </c>
      <c r="H62" s="155">
        <v>43085.83</v>
      </c>
      <c r="I62" s="155">
        <v>42631.45</v>
      </c>
      <c r="J62" s="155">
        <v>41083.37</v>
      </c>
      <c r="K62" s="155">
        <v>65277.48</v>
      </c>
      <c r="L62" s="155">
        <v>46968.27</v>
      </c>
      <c r="M62" s="155">
        <v>0</v>
      </c>
      <c r="N62" s="155">
        <v>48032.82</v>
      </c>
      <c r="O62" s="155">
        <v>47652.45</v>
      </c>
      <c r="P62" s="286">
        <v>32508.21</v>
      </c>
      <c r="Q62" s="86">
        <f t="shared" si="27"/>
        <v>530357.93</v>
      </c>
    </row>
    <row r="63" spans="1:17" s="24" customFormat="1" ht="12.75">
      <c r="A63" s="391"/>
      <c r="B63" s="471"/>
      <c r="C63" s="128" t="s">
        <v>4</v>
      </c>
      <c r="D63" s="155">
        <f>+D61</f>
        <v>41328.96</v>
      </c>
      <c r="E63" s="155">
        <f aca="true" t="shared" si="28" ref="E63:P63">+E61</f>
        <v>40992.96</v>
      </c>
      <c r="F63" s="155">
        <f t="shared" si="28"/>
        <v>41103.119999999995</v>
      </c>
      <c r="G63" s="155">
        <f t="shared" si="28"/>
        <v>40995.83</v>
      </c>
      <c r="H63" s="155">
        <f t="shared" si="28"/>
        <v>38302.1</v>
      </c>
      <c r="I63" s="155">
        <f t="shared" si="28"/>
        <v>41657.7</v>
      </c>
      <c r="J63" s="155">
        <f t="shared" si="28"/>
        <v>40777.6</v>
      </c>
      <c r="K63" s="155">
        <f t="shared" si="28"/>
        <v>63108.48</v>
      </c>
      <c r="L63" s="155">
        <f t="shared" si="28"/>
        <v>46875.84</v>
      </c>
      <c r="M63" s="155">
        <f>+M61</f>
        <v>349.76</v>
      </c>
      <c r="N63" s="155">
        <f t="shared" si="28"/>
        <v>48187.2</v>
      </c>
      <c r="O63" s="155">
        <f t="shared" si="28"/>
        <v>47131.66</v>
      </c>
      <c r="P63" s="286">
        <f t="shared" si="28"/>
        <v>32897.54</v>
      </c>
      <c r="Q63" s="86">
        <f t="shared" si="27"/>
        <v>523708.74999999994</v>
      </c>
    </row>
    <row r="64" spans="1:17" s="24" customFormat="1" ht="12.75">
      <c r="A64" s="391"/>
      <c r="B64" s="471"/>
      <c r="C64" s="128" t="s">
        <v>3</v>
      </c>
      <c r="D64" s="202">
        <f>+D62</f>
        <v>41568.33</v>
      </c>
      <c r="E64" s="202">
        <f aca="true" t="shared" si="29" ref="E64:P64">+E62</f>
        <v>40443.61</v>
      </c>
      <c r="F64" s="202">
        <f t="shared" si="29"/>
        <v>39848.87</v>
      </c>
      <c r="G64" s="202">
        <f t="shared" si="29"/>
        <v>41257.24</v>
      </c>
      <c r="H64" s="202">
        <f t="shared" si="29"/>
        <v>43085.83</v>
      </c>
      <c r="I64" s="202">
        <f t="shared" si="29"/>
        <v>42631.45</v>
      </c>
      <c r="J64" s="202">
        <f t="shared" si="29"/>
        <v>41083.37</v>
      </c>
      <c r="K64" s="202">
        <f t="shared" si="29"/>
        <v>65277.48</v>
      </c>
      <c r="L64" s="202">
        <f t="shared" si="29"/>
        <v>46968.27</v>
      </c>
      <c r="M64" s="202">
        <f>+M62</f>
        <v>0</v>
      </c>
      <c r="N64" s="202">
        <f t="shared" si="29"/>
        <v>48032.82</v>
      </c>
      <c r="O64" s="202">
        <f t="shared" si="29"/>
        <v>47652.45</v>
      </c>
      <c r="P64" s="287">
        <f t="shared" si="29"/>
        <v>32508.21</v>
      </c>
      <c r="Q64" s="86">
        <f t="shared" si="27"/>
        <v>530357.93</v>
      </c>
    </row>
    <row r="65" spans="1:17" s="3" customFormat="1" ht="13.5" thickBot="1">
      <c r="A65" s="391"/>
      <c r="B65" s="472"/>
      <c r="C65" s="140" t="s">
        <v>199</v>
      </c>
      <c r="D65" s="70">
        <f aca="true" t="shared" si="30" ref="D65:P65">D60+D61-D62</f>
        <v>3459.5499999999956</v>
      </c>
      <c r="E65" s="70">
        <f t="shared" si="30"/>
        <v>8392.39</v>
      </c>
      <c r="F65" s="70">
        <f t="shared" si="30"/>
        <v>8830.909999999996</v>
      </c>
      <c r="G65" s="70">
        <f>G60+G61-G62</f>
        <v>3665.310000000005</v>
      </c>
      <c r="H65" s="70">
        <f t="shared" si="30"/>
        <v>3120.1399999999994</v>
      </c>
      <c r="I65" s="70">
        <f t="shared" si="30"/>
        <v>3472.8600000000006</v>
      </c>
      <c r="J65" s="70">
        <f t="shared" si="30"/>
        <v>7432.379999999997</v>
      </c>
      <c r="K65" s="70">
        <f t="shared" si="30"/>
        <v>5288.1700000000055</v>
      </c>
      <c r="L65" s="70">
        <f>L60+L61-L62</f>
        <v>5323.110000000001</v>
      </c>
      <c r="M65" s="70">
        <f t="shared" si="30"/>
        <v>0</v>
      </c>
      <c r="N65" s="70">
        <f t="shared" si="30"/>
        <v>7386.540000000001</v>
      </c>
      <c r="O65" s="70">
        <f t="shared" si="30"/>
        <v>9104.170000000006</v>
      </c>
      <c r="P65" s="180">
        <f t="shared" si="30"/>
        <v>6502.610000000001</v>
      </c>
      <c r="Q65" s="75">
        <f t="shared" si="27"/>
        <v>71978.14000000001</v>
      </c>
    </row>
    <row r="66" spans="1:17" s="3" customFormat="1" ht="14.25" customHeight="1" hidden="1" thickBot="1">
      <c r="A66" s="379" t="s">
        <v>17</v>
      </c>
      <c r="B66" s="456" t="s">
        <v>43</v>
      </c>
      <c r="C66" s="135" t="s">
        <v>156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0"/>
      <c r="Q66" s="90">
        <f t="shared" si="27"/>
        <v>0</v>
      </c>
    </row>
    <row r="67" spans="1:17" s="3" customFormat="1" ht="14.25" customHeight="1" hidden="1" thickBot="1" thickTop="1">
      <c r="A67" s="379"/>
      <c r="B67" s="467"/>
      <c r="C67" s="128" t="s">
        <v>1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291"/>
      <c r="Q67" s="86">
        <f t="shared" si="27"/>
        <v>0</v>
      </c>
    </row>
    <row r="68" spans="1:17" s="3" customFormat="1" ht="14.25" customHeight="1" hidden="1" thickBot="1" thickTop="1">
      <c r="A68" s="379"/>
      <c r="B68" s="467"/>
      <c r="C68" s="128" t="s">
        <v>2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291"/>
      <c r="Q68" s="86">
        <f t="shared" si="27"/>
        <v>0</v>
      </c>
    </row>
    <row r="69" spans="1:17" s="3" customFormat="1" ht="14.25" customHeight="1" hidden="1" thickBot="1" thickTop="1">
      <c r="A69" s="379"/>
      <c r="B69" s="467"/>
      <c r="C69" s="128" t="s">
        <v>4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291"/>
      <c r="Q69" s="86">
        <f aca="true" t="shared" si="31" ref="Q69:Q101">SUM(D69:P69)</f>
        <v>0</v>
      </c>
    </row>
    <row r="70" spans="1:17" s="3" customFormat="1" ht="14.25" customHeight="1" hidden="1" thickBot="1" thickTop="1">
      <c r="A70" s="379"/>
      <c r="B70" s="467"/>
      <c r="C70" s="128" t="s">
        <v>3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92"/>
      <c r="Q70" s="86">
        <f t="shared" si="31"/>
        <v>0</v>
      </c>
    </row>
    <row r="71" spans="1:17" s="3" customFormat="1" ht="14.25" customHeight="1" hidden="1" thickBot="1" thickTop="1">
      <c r="A71" s="379"/>
      <c r="B71" s="467"/>
      <c r="C71" s="15" t="s">
        <v>160</v>
      </c>
      <c r="D71" s="92">
        <f>D66+D67-D68</f>
        <v>0</v>
      </c>
      <c r="E71" s="92">
        <f>E66+E67-E68</f>
        <v>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292">
        <f>P66+P67-P68</f>
        <v>0</v>
      </c>
      <c r="Q71" s="110">
        <f t="shared" si="31"/>
        <v>0</v>
      </c>
    </row>
    <row r="72" spans="1:17" s="3" customFormat="1" ht="14.25" customHeight="1" hidden="1" thickBot="1" thickTop="1">
      <c r="A72" s="379"/>
      <c r="B72" s="467" t="s">
        <v>18</v>
      </c>
      <c r="C72" s="128" t="s">
        <v>156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291"/>
      <c r="Q72" s="86">
        <f t="shared" si="31"/>
        <v>0</v>
      </c>
    </row>
    <row r="73" spans="1:17" s="3" customFormat="1" ht="14.25" customHeight="1" hidden="1" thickBot="1" thickTop="1">
      <c r="A73" s="379"/>
      <c r="B73" s="467"/>
      <c r="C73" s="128" t="s">
        <v>1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291"/>
      <c r="Q73" s="86">
        <f t="shared" si="31"/>
        <v>0</v>
      </c>
    </row>
    <row r="74" spans="1:17" s="3" customFormat="1" ht="14.25" customHeight="1" hidden="1" thickBot="1" thickTop="1">
      <c r="A74" s="379"/>
      <c r="B74" s="467"/>
      <c r="C74" s="128" t="s">
        <v>2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91"/>
      <c r="Q74" s="86">
        <f t="shared" si="31"/>
        <v>0</v>
      </c>
    </row>
    <row r="75" spans="1:17" s="3" customFormat="1" ht="14.25" customHeight="1" hidden="1" thickBot="1" thickTop="1">
      <c r="A75" s="379"/>
      <c r="B75" s="467"/>
      <c r="C75" s="128" t="s">
        <v>4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91"/>
      <c r="Q75" s="86">
        <f t="shared" si="31"/>
        <v>0</v>
      </c>
    </row>
    <row r="76" spans="1:17" s="3" customFormat="1" ht="14.25" customHeight="1" hidden="1" thickBot="1" thickTop="1">
      <c r="A76" s="379"/>
      <c r="B76" s="467"/>
      <c r="C76" s="128" t="s">
        <v>3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292"/>
      <c r="Q76" s="86">
        <f t="shared" si="31"/>
        <v>0</v>
      </c>
    </row>
    <row r="77" spans="1:17" s="3" customFormat="1" ht="14.25" customHeight="1" hidden="1" thickBot="1" thickTop="1">
      <c r="A77" s="379"/>
      <c r="B77" s="467"/>
      <c r="C77" s="15" t="s">
        <v>160</v>
      </c>
      <c r="D77" s="92">
        <f>D72+D73-D74</f>
        <v>0</v>
      </c>
      <c r="E77" s="92">
        <f>E72+E73-E74</f>
        <v>0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292">
        <f>P72+P73-P74</f>
        <v>0</v>
      </c>
      <c r="Q77" s="110">
        <f t="shared" si="31"/>
        <v>0</v>
      </c>
    </row>
    <row r="78" spans="1:17" s="3" customFormat="1" ht="14.25" customHeight="1" hidden="1" thickBot="1" thickTop="1">
      <c r="A78" s="379"/>
      <c r="B78" s="467" t="s">
        <v>19</v>
      </c>
      <c r="C78" s="128" t="s">
        <v>156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91"/>
      <c r="Q78" s="86">
        <f t="shared" si="31"/>
        <v>0</v>
      </c>
    </row>
    <row r="79" spans="1:17" s="3" customFormat="1" ht="14.25" customHeight="1" hidden="1" thickBot="1" thickTop="1">
      <c r="A79" s="379"/>
      <c r="B79" s="467"/>
      <c r="C79" s="128" t="s">
        <v>1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291"/>
      <c r="Q79" s="86">
        <f t="shared" si="31"/>
        <v>0</v>
      </c>
    </row>
    <row r="80" spans="1:17" s="3" customFormat="1" ht="14.25" customHeight="1" hidden="1" thickBot="1" thickTop="1">
      <c r="A80" s="379"/>
      <c r="B80" s="467"/>
      <c r="C80" s="128" t="s">
        <v>2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91"/>
      <c r="Q80" s="86">
        <f t="shared" si="31"/>
        <v>0</v>
      </c>
    </row>
    <row r="81" spans="1:17" s="3" customFormat="1" ht="14.25" customHeight="1" hidden="1" thickBot="1" thickTop="1">
      <c r="A81" s="379"/>
      <c r="B81" s="467"/>
      <c r="C81" s="128" t="s">
        <v>4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91"/>
      <c r="Q81" s="86">
        <f t="shared" si="31"/>
        <v>0</v>
      </c>
    </row>
    <row r="82" spans="1:17" s="3" customFormat="1" ht="14.25" customHeight="1" hidden="1" thickBot="1" thickTop="1">
      <c r="A82" s="379"/>
      <c r="B82" s="467"/>
      <c r="C82" s="128" t="s">
        <v>3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292"/>
      <c r="Q82" s="86">
        <f t="shared" si="31"/>
        <v>0</v>
      </c>
    </row>
    <row r="83" spans="1:17" s="3" customFormat="1" ht="14.25" customHeight="1" hidden="1" thickBot="1" thickTop="1">
      <c r="A83" s="379"/>
      <c r="B83" s="454"/>
      <c r="C83" s="16" t="s">
        <v>160</v>
      </c>
      <c r="D83" s="134">
        <f>D78+D79-D80</f>
        <v>0</v>
      </c>
      <c r="E83" s="134">
        <f>E78+E79-E80</f>
        <v>0</v>
      </c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293">
        <f>P78+P79-P80</f>
        <v>0</v>
      </c>
      <c r="Q83" s="114">
        <f t="shared" si="31"/>
        <v>0</v>
      </c>
    </row>
    <row r="84" spans="1:17" s="24" customFormat="1" ht="13.5" customHeight="1">
      <c r="A84" s="391"/>
      <c r="B84" s="470" t="s">
        <v>16</v>
      </c>
      <c r="C84" s="136" t="s">
        <v>175</v>
      </c>
      <c r="D84" s="168">
        <v>13949.11</v>
      </c>
      <c r="E84" s="168">
        <v>30230.8</v>
      </c>
      <c r="F84" s="168">
        <v>32726.8</v>
      </c>
      <c r="G84" s="168">
        <v>11715.22</v>
      </c>
      <c r="H84" s="168">
        <v>29090.21</v>
      </c>
      <c r="I84" s="168">
        <v>15382.49</v>
      </c>
      <c r="J84" s="168">
        <v>25081.58</v>
      </c>
      <c r="K84" s="168">
        <v>25936.52</v>
      </c>
      <c r="L84" s="168">
        <v>24300.91</v>
      </c>
      <c r="M84" s="168">
        <v>9952.18</v>
      </c>
      <c r="N84" s="168">
        <v>25443.42</v>
      </c>
      <c r="O84" s="168">
        <v>33348.67</v>
      </c>
      <c r="P84" s="285">
        <v>21568.67</v>
      </c>
      <c r="Q84" s="106">
        <f t="shared" si="31"/>
        <v>298726.57999999996</v>
      </c>
    </row>
    <row r="85" spans="1:17" s="24" customFormat="1" ht="12.75">
      <c r="A85" s="391"/>
      <c r="B85" s="471"/>
      <c r="C85" s="128" t="s">
        <v>1</v>
      </c>
      <c r="D85" s="155">
        <v>142926</v>
      </c>
      <c r="E85" s="155">
        <v>141890.55</v>
      </c>
      <c r="F85" s="155">
        <v>142111.24</v>
      </c>
      <c r="G85" s="155">
        <v>143557.21</v>
      </c>
      <c r="H85" s="155">
        <v>131579.75</v>
      </c>
      <c r="I85" s="155">
        <v>143975.32</v>
      </c>
      <c r="J85" s="155">
        <v>141111.25</v>
      </c>
      <c r="K85" s="155">
        <v>219021.71</v>
      </c>
      <c r="L85" s="155">
        <v>163656.78</v>
      </c>
      <c r="M85" s="155">
        <v>111146.55</v>
      </c>
      <c r="N85" s="155">
        <v>166628.89</v>
      </c>
      <c r="O85" s="155">
        <v>164414.66</v>
      </c>
      <c r="P85" s="286">
        <v>113749.4</v>
      </c>
      <c r="Q85" s="86">
        <f t="shared" si="31"/>
        <v>1925769.3099999998</v>
      </c>
    </row>
    <row r="86" spans="1:17" s="24" customFormat="1" ht="12.75">
      <c r="A86" s="391"/>
      <c r="B86" s="471"/>
      <c r="C86" s="128" t="s">
        <v>2</v>
      </c>
      <c r="D86" s="155">
        <v>144032.97</v>
      </c>
      <c r="E86" s="155">
        <v>140526.98</v>
      </c>
      <c r="F86" s="155">
        <v>140010.41</v>
      </c>
      <c r="G86" s="155">
        <v>142591.88</v>
      </c>
      <c r="H86" s="155">
        <v>149199.55</v>
      </c>
      <c r="I86" s="155">
        <v>147334.94</v>
      </c>
      <c r="J86" s="155">
        <v>142202.66</v>
      </c>
      <c r="K86" s="155">
        <v>226521.12</v>
      </c>
      <c r="L86" s="155">
        <v>162451.94</v>
      </c>
      <c r="M86" s="155">
        <v>111945.21</v>
      </c>
      <c r="N86" s="155">
        <v>166555.68</v>
      </c>
      <c r="O86" s="155">
        <v>166220.65</v>
      </c>
      <c r="P86" s="286">
        <v>112439.54</v>
      </c>
      <c r="Q86" s="86">
        <f t="shared" si="31"/>
        <v>1952033.5299999998</v>
      </c>
    </row>
    <row r="87" spans="1:17" s="24" customFormat="1" ht="12.75">
      <c r="A87" s="391"/>
      <c r="B87" s="471"/>
      <c r="C87" s="128" t="s">
        <v>4</v>
      </c>
      <c r="D87" s="155">
        <f>+D85</f>
        <v>142926</v>
      </c>
      <c r="E87" s="155">
        <f aca="true" t="shared" si="32" ref="E87:P87">+E85</f>
        <v>141890.55</v>
      </c>
      <c r="F87" s="155">
        <f t="shared" si="32"/>
        <v>142111.24</v>
      </c>
      <c r="G87" s="155">
        <f t="shared" si="32"/>
        <v>143557.21</v>
      </c>
      <c r="H87" s="155">
        <f t="shared" si="32"/>
        <v>131579.75</v>
      </c>
      <c r="I87" s="155">
        <f t="shared" si="32"/>
        <v>143975.32</v>
      </c>
      <c r="J87" s="155">
        <f t="shared" si="32"/>
        <v>141111.25</v>
      </c>
      <c r="K87" s="155">
        <f t="shared" si="32"/>
        <v>219021.71</v>
      </c>
      <c r="L87" s="155">
        <f t="shared" si="32"/>
        <v>163656.78</v>
      </c>
      <c r="M87" s="155">
        <f t="shared" si="32"/>
        <v>111146.55</v>
      </c>
      <c r="N87" s="155">
        <f t="shared" si="32"/>
        <v>166628.89</v>
      </c>
      <c r="O87" s="155">
        <f t="shared" si="32"/>
        <v>164414.66</v>
      </c>
      <c r="P87" s="155">
        <f t="shared" si="32"/>
        <v>113749.4</v>
      </c>
      <c r="Q87" s="86">
        <f t="shared" si="31"/>
        <v>1925769.3099999998</v>
      </c>
    </row>
    <row r="88" spans="1:17" s="24" customFormat="1" ht="12.75">
      <c r="A88" s="391"/>
      <c r="B88" s="471"/>
      <c r="C88" s="128" t="s">
        <v>3</v>
      </c>
      <c r="D88" s="202">
        <f>D87+D84</f>
        <v>156875.11</v>
      </c>
      <c r="E88" s="202">
        <f aca="true" t="shared" si="33" ref="E88:P88">+E86</f>
        <v>140526.98</v>
      </c>
      <c r="F88" s="202">
        <f t="shared" si="33"/>
        <v>140010.41</v>
      </c>
      <c r="G88" s="202">
        <f>G87+G84</f>
        <v>155272.43</v>
      </c>
      <c r="H88" s="202">
        <f t="shared" si="33"/>
        <v>149199.55</v>
      </c>
      <c r="I88" s="202">
        <f>I87+I84</f>
        <v>159357.81</v>
      </c>
      <c r="J88" s="202">
        <f>J87+J84</f>
        <v>166192.83000000002</v>
      </c>
      <c r="K88" s="202">
        <f>K87+K84</f>
        <v>244958.22999999998</v>
      </c>
      <c r="L88" s="202">
        <f t="shared" si="33"/>
        <v>162451.94</v>
      </c>
      <c r="M88" s="202">
        <f>M87+M84</f>
        <v>121098.73000000001</v>
      </c>
      <c r="N88" s="202">
        <f>N87+N84</f>
        <v>192072.31</v>
      </c>
      <c r="O88" s="202">
        <f t="shared" si="33"/>
        <v>166220.65</v>
      </c>
      <c r="P88" s="202">
        <f t="shared" si="33"/>
        <v>112439.54</v>
      </c>
      <c r="Q88" s="86">
        <f t="shared" si="31"/>
        <v>2066676.52</v>
      </c>
    </row>
    <row r="89" spans="1:17" s="3" customFormat="1" ht="13.5" thickBot="1">
      <c r="A89" s="391"/>
      <c r="B89" s="472"/>
      <c r="C89" s="140" t="s">
        <v>199</v>
      </c>
      <c r="D89" s="70">
        <f aca="true" t="shared" si="34" ref="D89:P89">D84+D85-D86</f>
        <v>12842.139999999985</v>
      </c>
      <c r="E89" s="70">
        <f t="shared" si="34"/>
        <v>31594.369999999966</v>
      </c>
      <c r="F89" s="70">
        <f t="shared" si="34"/>
        <v>34827.629999999976</v>
      </c>
      <c r="G89" s="70">
        <f>G84+G85-G86</f>
        <v>12680.549999999988</v>
      </c>
      <c r="H89" s="70">
        <f t="shared" si="34"/>
        <v>11470.410000000003</v>
      </c>
      <c r="I89" s="70">
        <f t="shared" si="34"/>
        <v>12022.869999999995</v>
      </c>
      <c r="J89" s="70">
        <f t="shared" si="34"/>
        <v>23990.170000000013</v>
      </c>
      <c r="K89" s="70">
        <f t="shared" si="34"/>
        <v>18437.109999999986</v>
      </c>
      <c r="L89" s="70">
        <f t="shared" si="34"/>
        <v>25505.75</v>
      </c>
      <c r="M89" s="70">
        <f t="shared" si="34"/>
        <v>9153.520000000004</v>
      </c>
      <c r="N89" s="70">
        <f t="shared" si="34"/>
        <v>25516.630000000005</v>
      </c>
      <c r="O89" s="70">
        <f t="shared" si="34"/>
        <v>31542.680000000022</v>
      </c>
      <c r="P89" s="180">
        <f t="shared" si="34"/>
        <v>22878.530000000013</v>
      </c>
      <c r="Q89" s="75">
        <f t="shared" si="31"/>
        <v>272462.3599999999</v>
      </c>
    </row>
    <row r="90" spans="1:17" ht="13.5" customHeight="1">
      <c r="A90" s="465" t="s">
        <v>188</v>
      </c>
      <c r="B90" s="393"/>
      <c r="C90" s="477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294"/>
      <c r="Q90" s="121"/>
    </row>
    <row r="91" spans="1:17" ht="12.75" customHeight="1">
      <c r="A91" s="476"/>
      <c r="B91" s="476"/>
      <c r="C91" s="355" t="s">
        <v>175</v>
      </c>
      <c r="D91" s="116">
        <f>D6+D12+D18+D24+D30+D36+D42+D48+D54+D60+D84</f>
        <v>534254.78</v>
      </c>
      <c r="E91" s="116">
        <f aca="true" t="shared" si="35" ref="E91:Q91">E6+E12+E18+E24+E30+E36+E42+E48+E54+E60+E84</f>
        <v>1119936.0799999998</v>
      </c>
      <c r="F91" s="116">
        <f t="shared" si="35"/>
        <v>961643.3500000001</v>
      </c>
      <c r="G91" s="116">
        <f t="shared" si="35"/>
        <v>393302.08999999997</v>
      </c>
      <c r="H91" s="116">
        <f t="shared" si="35"/>
        <v>898474</v>
      </c>
      <c r="I91" s="116">
        <f t="shared" si="35"/>
        <v>547764.85</v>
      </c>
      <c r="J91" s="116">
        <f t="shared" si="35"/>
        <v>746864.52</v>
      </c>
      <c r="K91" s="116">
        <f t="shared" si="35"/>
        <v>592263.46</v>
      </c>
      <c r="L91" s="116">
        <f t="shared" si="35"/>
        <v>737743.7600000001</v>
      </c>
      <c r="M91" s="116">
        <f t="shared" si="35"/>
        <v>267380.36</v>
      </c>
      <c r="N91" s="116">
        <f t="shared" si="35"/>
        <v>686229.76</v>
      </c>
      <c r="O91" s="116">
        <f t="shared" si="35"/>
        <v>872822.2400000001</v>
      </c>
      <c r="P91" s="295">
        <f t="shared" si="35"/>
        <v>666525.81</v>
      </c>
      <c r="Q91" s="122">
        <f t="shared" si="35"/>
        <v>9025205.06</v>
      </c>
    </row>
    <row r="92" spans="1:17" ht="12.75">
      <c r="A92" s="377"/>
      <c r="B92" s="377"/>
      <c r="C92" s="132" t="s">
        <v>1</v>
      </c>
      <c r="D92" s="116">
        <f aca="true" t="shared" si="36" ref="D92:Q96">D7+D13+D19+D25+D31+D37+D43+D49+D55+D61+D85</f>
        <v>4176786.84</v>
      </c>
      <c r="E92" s="116">
        <f t="shared" si="36"/>
        <v>4534952.43</v>
      </c>
      <c r="F92" s="116">
        <f t="shared" si="36"/>
        <v>4245456.53</v>
      </c>
      <c r="G92" s="116">
        <f t="shared" si="36"/>
        <v>3752662.53</v>
      </c>
      <c r="H92" s="116">
        <f t="shared" si="36"/>
        <v>3906315.6900000004</v>
      </c>
      <c r="I92" s="116">
        <f t="shared" si="36"/>
        <v>4229442.420000001</v>
      </c>
      <c r="J92" s="116">
        <f t="shared" si="36"/>
        <v>4396866.59</v>
      </c>
      <c r="K92" s="116">
        <f t="shared" si="36"/>
        <v>6300902.989999999</v>
      </c>
      <c r="L92" s="116">
        <f t="shared" si="36"/>
        <v>3656950.37</v>
      </c>
      <c r="M92" s="116">
        <f t="shared" si="36"/>
        <v>2852521.1499999994</v>
      </c>
      <c r="N92" s="116">
        <f t="shared" si="36"/>
        <v>4607162.079999999</v>
      </c>
      <c r="O92" s="116">
        <f t="shared" si="36"/>
        <v>4436532.9</v>
      </c>
      <c r="P92" s="295">
        <f t="shared" si="36"/>
        <v>3302712.66</v>
      </c>
      <c r="Q92" s="122">
        <f t="shared" si="36"/>
        <v>54399265.18</v>
      </c>
    </row>
    <row r="93" spans="1:17" ht="12.75">
      <c r="A93" s="377"/>
      <c r="B93" s="377"/>
      <c r="C93" s="132" t="s">
        <v>2</v>
      </c>
      <c r="D93" s="116">
        <f t="shared" si="36"/>
        <v>4182531.040000001</v>
      </c>
      <c r="E93" s="116">
        <f t="shared" si="36"/>
        <v>4325363.0600000005</v>
      </c>
      <c r="F93" s="116">
        <f t="shared" si="36"/>
        <v>4053780.2</v>
      </c>
      <c r="G93" s="116">
        <f t="shared" si="36"/>
        <v>4055912.7100000004</v>
      </c>
      <c r="H93" s="116">
        <f t="shared" si="36"/>
        <v>4357469.16</v>
      </c>
      <c r="I93" s="116">
        <f t="shared" si="36"/>
        <v>4210718.830000001</v>
      </c>
      <c r="J93" s="116">
        <f t="shared" si="36"/>
        <v>4238434.49</v>
      </c>
      <c r="K93" s="116">
        <f t="shared" si="36"/>
        <v>6135352.5600000005</v>
      </c>
      <c r="L93" s="116">
        <f t="shared" si="36"/>
        <v>4496749.74</v>
      </c>
      <c r="M93" s="116">
        <f t="shared" si="36"/>
        <v>2946881.1099999994</v>
      </c>
      <c r="N93" s="116">
        <f t="shared" si="36"/>
        <v>4774275.600000001</v>
      </c>
      <c r="O93" s="116">
        <f t="shared" si="36"/>
        <v>4734340.420000001</v>
      </c>
      <c r="P93" s="295">
        <f t="shared" si="36"/>
        <v>3299111.2200000007</v>
      </c>
      <c r="Q93" s="122">
        <f t="shared" si="36"/>
        <v>55810920.14000001</v>
      </c>
    </row>
    <row r="94" spans="1:17" ht="12.75">
      <c r="A94" s="377"/>
      <c r="B94" s="377"/>
      <c r="C94" s="132" t="s">
        <v>4</v>
      </c>
      <c r="D94" s="116">
        <f t="shared" si="36"/>
        <v>4176786.84</v>
      </c>
      <c r="E94" s="116">
        <f t="shared" si="36"/>
        <v>4534952.43</v>
      </c>
      <c r="F94" s="116">
        <f t="shared" si="36"/>
        <v>4245456.53</v>
      </c>
      <c r="G94" s="116">
        <f t="shared" si="36"/>
        <v>3752662.53</v>
      </c>
      <c r="H94" s="116">
        <f t="shared" si="36"/>
        <v>3906315.6900000004</v>
      </c>
      <c r="I94" s="116">
        <f t="shared" si="36"/>
        <v>4229442.420000001</v>
      </c>
      <c r="J94" s="116">
        <f t="shared" si="36"/>
        <v>4396866.59</v>
      </c>
      <c r="K94" s="116">
        <f t="shared" si="36"/>
        <v>6300902.989999999</v>
      </c>
      <c r="L94" s="116">
        <f t="shared" si="36"/>
        <v>3656950.37</v>
      </c>
      <c r="M94" s="116">
        <f t="shared" si="36"/>
        <v>2852521.1499999994</v>
      </c>
      <c r="N94" s="116">
        <f t="shared" si="36"/>
        <v>4607162.079999999</v>
      </c>
      <c r="O94" s="116">
        <f t="shared" si="36"/>
        <v>4436532.9</v>
      </c>
      <c r="P94" s="295">
        <f t="shared" si="36"/>
        <v>3302712.66</v>
      </c>
      <c r="Q94" s="122">
        <f t="shared" si="36"/>
        <v>54399265.18</v>
      </c>
    </row>
    <row r="95" spans="1:17" ht="12.75">
      <c r="A95" s="377"/>
      <c r="B95" s="377"/>
      <c r="C95" s="132" t="s">
        <v>3</v>
      </c>
      <c r="D95" s="116">
        <f t="shared" si="36"/>
        <v>4312433.470000001</v>
      </c>
      <c r="E95" s="116">
        <f t="shared" si="36"/>
        <v>4325363.0600000005</v>
      </c>
      <c r="F95" s="116">
        <f t="shared" si="36"/>
        <v>4053780.2</v>
      </c>
      <c r="G95" s="116">
        <f t="shared" si="36"/>
        <v>4259266.0200000005</v>
      </c>
      <c r="H95" s="116">
        <f t="shared" si="36"/>
        <v>4357469.16</v>
      </c>
      <c r="I95" s="116">
        <f t="shared" si="36"/>
        <v>4237242.09</v>
      </c>
      <c r="J95" s="116">
        <f t="shared" si="36"/>
        <v>4292198.38</v>
      </c>
      <c r="K95" s="116">
        <f t="shared" si="36"/>
        <v>6223975.470000001</v>
      </c>
      <c r="L95" s="116">
        <f t="shared" si="36"/>
        <v>4496749.74</v>
      </c>
      <c r="M95" s="116">
        <f t="shared" si="36"/>
        <v>3061598.1699999995</v>
      </c>
      <c r="N95" s="116">
        <f t="shared" si="36"/>
        <v>4801421.99</v>
      </c>
      <c r="O95" s="116">
        <f t="shared" si="36"/>
        <v>4734340.420000001</v>
      </c>
      <c r="P95" s="295">
        <f t="shared" si="36"/>
        <v>3299111.2200000007</v>
      </c>
      <c r="Q95" s="122">
        <f t="shared" si="36"/>
        <v>56454949.39000001</v>
      </c>
    </row>
    <row r="96" spans="1:17" s="4" customFormat="1" ht="13.5" thickBot="1">
      <c r="A96" s="378"/>
      <c r="B96" s="378"/>
      <c r="C96" s="148" t="s">
        <v>199</v>
      </c>
      <c r="D96" s="126">
        <f t="shared" si="36"/>
        <v>528510.5800000001</v>
      </c>
      <c r="E96" s="126">
        <f t="shared" si="36"/>
        <v>1329525.4499999993</v>
      </c>
      <c r="F96" s="126">
        <f t="shared" si="36"/>
        <v>1153319.6800000002</v>
      </c>
      <c r="G96" s="126">
        <f t="shared" si="36"/>
        <v>90051.90999999965</v>
      </c>
      <c r="H96" s="126">
        <f t="shared" si="36"/>
        <v>447320.5300000004</v>
      </c>
      <c r="I96" s="126">
        <f t="shared" si="36"/>
        <v>566488.4400000001</v>
      </c>
      <c r="J96" s="126">
        <f t="shared" si="36"/>
        <v>905296.6200000001</v>
      </c>
      <c r="K96" s="126">
        <f t="shared" si="36"/>
        <v>757813.8899999999</v>
      </c>
      <c r="L96" s="126">
        <f t="shared" si="36"/>
        <v>-102055.60999999988</v>
      </c>
      <c r="M96" s="126">
        <f t="shared" si="36"/>
        <v>173020.40000000002</v>
      </c>
      <c r="N96" s="126">
        <f t="shared" si="36"/>
        <v>519116.23999999976</v>
      </c>
      <c r="O96" s="126">
        <f t="shared" si="36"/>
        <v>575014.7199999997</v>
      </c>
      <c r="P96" s="296">
        <f t="shared" si="36"/>
        <v>670127.2500000001</v>
      </c>
      <c r="Q96" s="170">
        <f t="shared" si="36"/>
        <v>7613550.100000001</v>
      </c>
    </row>
    <row r="97" spans="1:17" s="4" customFormat="1" ht="12.75">
      <c r="A97" s="390" t="s">
        <v>54</v>
      </c>
      <c r="B97" s="475" t="s">
        <v>43</v>
      </c>
      <c r="C97" s="135" t="s">
        <v>175</v>
      </c>
      <c r="D97" s="154">
        <v>61648.48</v>
      </c>
      <c r="E97" s="154">
        <v>132004.43</v>
      </c>
      <c r="F97" s="154">
        <v>147127.06</v>
      </c>
      <c r="G97" s="154">
        <v>51531.4</v>
      </c>
      <c r="H97" s="154">
        <v>133481.56</v>
      </c>
      <c r="I97" s="154">
        <v>67777.69</v>
      </c>
      <c r="J97" s="154">
        <v>111882.4</v>
      </c>
      <c r="K97" s="154">
        <v>111632.25</v>
      </c>
      <c r="L97" s="154">
        <v>103265.78</v>
      </c>
      <c r="M97" s="154">
        <v>43855.86</v>
      </c>
      <c r="N97" s="154">
        <v>112082.5</v>
      </c>
      <c r="O97" s="154">
        <v>144927.48</v>
      </c>
      <c r="P97" s="297">
        <v>93717.12</v>
      </c>
      <c r="Q97" s="106">
        <f t="shared" si="31"/>
        <v>1314934.0099999998</v>
      </c>
    </row>
    <row r="98" spans="1:17" s="4" customFormat="1" ht="12.75">
      <c r="A98" s="391"/>
      <c r="B98" s="471"/>
      <c r="C98" s="128" t="s">
        <v>1</v>
      </c>
      <c r="D98" s="155">
        <v>632591.65</v>
      </c>
      <c r="E98" s="155">
        <v>628009.12</v>
      </c>
      <c r="F98" s="155">
        <v>628986.82</v>
      </c>
      <c r="G98" s="155">
        <v>635327.74</v>
      </c>
      <c r="H98" s="155">
        <v>577730.1</v>
      </c>
      <c r="I98" s="155">
        <v>637234.31</v>
      </c>
      <c r="J98" s="155">
        <v>624555.48</v>
      </c>
      <c r="K98" s="155">
        <v>944078.91</v>
      </c>
      <c r="L98" s="155">
        <v>705438.52</v>
      </c>
      <c r="M98" s="155">
        <v>491980.48</v>
      </c>
      <c r="N98" s="155">
        <v>737499.06</v>
      </c>
      <c r="O98" s="155">
        <v>727700.79</v>
      </c>
      <c r="P98" s="286">
        <v>503454.42</v>
      </c>
      <c r="Q98" s="86">
        <f t="shared" si="31"/>
        <v>8474587.400000002</v>
      </c>
    </row>
    <row r="99" spans="1:17" s="4" customFormat="1" ht="12.75">
      <c r="A99" s="391"/>
      <c r="B99" s="471"/>
      <c r="C99" s="128" t="s">
        <v>2</v>
      </c>
      <c r="D99" s="155">
        <v>637442.06</v>
      </c>
      <c r="E99" s="155">
        <v>621717.32</v>
      </c>
      <c r="F99" s="155">
        <v>620330.9</v>
      </c>
      <c r="G99" s="155">
        <v>630825.08</v>
      </c>
      <c r="H99" s="155">
        <v>660755.47</v>
      </c>
      <c r="I99" s="155">
        <v>651841.76</v>
      </c>
      <c r="J99" s="155">
        <v>629122.38</v>
      </c>
      <c r="K99" s="155">
        <v>976349.37</v>
      </c>
      <c r="L99" s="155">
        <v>699878.33</v>
      </c>
      <c r="M99" s="155">
        <v>495278.44</v>
      </c>
      <c r="N99" s="155">
        <v>736839.36</v>
      </c>
      <c r="O99" s="155">
        <v>734834.56</v>
      </c>
      <c r="P99" s="286">
        <v>497049.56</v>
      </c>
      <c r="Q99" s="86">
        <f t="shared" si="31"/>
        <v>8592264.590000002</v>
      </c>
    </row>
    <row r="100" spans="1:17" s="4" customFormat="1" ht="12.75">
      <c r="A100" s="391"/>
      <c r="B100" s="471"/>
      <c r="C100" s="128" t="s">
        <v>4</v>
      </c>
      <c r="D100" s="209">
        <v>381883.32</v>
      </c>
      <c r="E100" s="209">
        <v>994637.99</v>
      </c>
      <c r="F100" s="209">
        <v>543571.71</v>
      </c>
      <c r="G100" s="209">
        <v>308082.49</v>
      </c>
      <c r="H100" s="209">
        <v>1010801.67</v>
      </c>
      <c r="I100" s="209">
        <v>482539.49</v>
      </c>
      <c r="J100" s="209">
        <v>337396.4</v>
      </c>
      <c r="K100" s="209">
        <v>592720.48</v>
      </c>
      <c r="L100" s="209">
        <v>623057.42</v>
      </c>
      <c r="M100" s="209">
        <v>261864.55</v>
      </c>
      <c r="N100" s="209">
        <v>444271.04</v>
      </c>
      <c r="O100" s="209">
        <v>452950.33</v>
      </c>
      <c r="P100" s="298">
        <v>351300.97</v>
      </c>
      <c r="Q100" s="208">
        <f t="shared" si="31"/>
        <v>6785077.859999999</v>
      </c>
    </row>
    <row r="101" spans="1:17" s="4" customFormat="1" ht="12.75">
      <c r="A101" s="391"/>
      <c r="B101" s="471"/>
      <c r="C101" s="128" t="s">
        <v>3</v>
      </c>
      <c r="D101" s="202">
        <f>D100+D97</f>
        <v>443531.8</v>
      </c>
      <c r="E101" s="202">
        <v>624480.08</v>
      </c>
      <c r="F101" s="202">
        <f>+F99</f>
        <v>620330.9</v>
      </c>
      <c r="G101" s="202">
        <f>G100+G97</f>
        <v>359613.89</v>
      </c>
      <c r="H101" s="202">
        <f>+H99</f>
        <v>660755.47</v>
      </c>
      <c r="I101" s="202">
        <f>I100+I97</f>
        <v>550317.1799999999</v>
      </c>
      <c r="J101" s="202">
        <f>J100+J97</f>
        <v>449278.80000000005</v>
      </c>
      <c r="K101" s="202">
        <f>K100+K97</f>
        <v>704352.73</v>
      </c>
      <c r="L101" s="202">
        <v>706815.59</v>
      </c>
      <c r="M101" s="202">
        <f>M100+M97</f>
        <v>305720.41</v>
      </c>
      <c r="N101" s="202">
        <f>N100+N97</f>
        <v>556353.54</v>
      </c>
      <c r="O101" s="202">
        <f>O100+O97</f>
        <v>597877.81</v>
      </c>
      <c r="P101" s="202">
        <f>P100+P97</f>
        <v>445018.08999999997</v>
      </c>
      <c r="Q101" s="86">
        <f t="shared" si="31"/>
        <v>7024446.289999999</v>
      </c>
    </row>
    <row r="102" spans="1:17" s="3" customFormat="1" ht="13.5" thickBot="1">
      <c r="A102" s="391"/>
      <c r="B102" s="472"/>
      <c r="C102" s="140" t="s">
        <v>199</v>
      </c>
      <c r="D102" s="70">
        <f aca="true" t="shared" si="37" ref="D102:P102">D97+D98-D99</f>
        <v>56798.06999999995</v>
      </c>
      <c r="E102" s="70">
        <f t="shared" si="37"/>
        <v>138296.2300000001</v>
      </c>
      <c r="F102" s="70">
        <f t="shared" si="37"/>
        <v>155782.97999999986</v>
      </c>
      <c r="G102" s="70">
        <f>G97+G98-G99</f>
        <v>56034.060000000056</v>
      </c>
      <c r="H102" s="70">
        <f t="shared" si="37"/>
        <v>50456.189999999944</v>
      </c>
      <c r="I102" s="70">
        <f t="shared" si="37"/>
        <v>53170.23999999999</v>
      </c>
      <c r="J102" s="70">
        <f t="shared" si="37"/>
        <v>107315.5</v>
      </c>
      <c r="K102" s="70">
        <f t="shared" si="37"/>
        <v>79361.79000000015</v>
      </c>
      <c r="L102" s="70">
        <f t="shared" si="37"/>
        <v>108825.97000000009</v>
      </c>
      <c r="M102" s="70">
        <f t="shared" si="37"/>
        <v>40557.899999999965</v>
      </c>
      <c r="N102" s="70">
        <f t="shared" si="37"/>
        <v>112742.20000000007</v>
      </c>
      <c r="O102" s="70">
        <f t="shared" si="37"/>
        <v>137793.70999999996</v>
      </c>
      <c r="P102" s="180">
        <f t="shared" si="37"/>
        <v>100121.98000000004</v>
      </c>
      <c r="Q102" s="75">
        <f aca="true" t="shared" si="38" ref="Q102:Q174">SUM(D102:P102)</f>
        <v>1197256.8200000003</v>
      </c>
    </row>
    <row r="103" spans="1:17" s="4" customFormat="1" ht="12.75">
      <c r="A103" s="391"/>
      <c r="B103" s="470" t="s">
        <v>18</v>
      </c>
      <c r="C103" s="136" t="s">
        <v>175</v>
      </c>
      <c r="D103" s="168">
        <v>12733.74</v>
      </c>
      <c r="E103" s="168">
        <v>28104.37</v>
      </c>
      <c r="F103" s="168">
        <v>33550.1</v>
      </c>
      <c r="G103" s="168">
        <v>10567.13</v>
      </c>
      <c r="H103" s="168">
        <v>28493.74</v>
      </c>
      <c r="I103" s="168">
        <v>14044.8</v>
      </c>
      <c r="J103" s="168">
        <v>23332.99</v>
      </c>
      <c r="K103" s="168">
        <v>23736.86</v>
      </c>
      <c r="L103" s="168">
        <v>21991.81</v>
      </c>
      <c r="M103" s="168">
        <v>9087.8</v>
      </c>
      <c r="N103" s="168">
        <v>23206.21</v>
      </c>
      <c r="O103" s="168">
        <v>30516.05</v>
      </c>
      <c r="P103" s="285">
        <v>19381.44</v>
      </c>
      <c r="Q103" s="106">
        <f t="shared" si="38"/>
        <v>278747.0399999999</v>
      </c>
    </row>
    <row r="104" spans="1:17" s="4" customFormat="1" ht="12.75">
      <c r="A104" s="391"/>
      <c r="B104" s="471"/>
      <c r="C104" s="128" t="s">
        <v>1</v>
      </c>
      <c r="D104" s="155">
        <v>130544.41</v>
      </c>
      <c r="E104" s="155">
        <v>129598.35</v>
      </c>
      <c r="F104" s="155">
        <v>129800.69</v>
      </c>
      <c r="G104" s="155">
        <v>131119.35</v>
      </c>
      <c r="H104" s="155">
        <v>118395.03</v>
      </c>
      <c r="I104" s="155">
        <v>131501.97</v>
      </c>
      <c r="J104" s="155">
        <v>128883.61</v>
      </c>
      <c r="K104" s="155">
        <v>200043.92</v>
      </c>
      <c r="L104" s="155">
        <v>149477.8</v>
      </c>
      <c r="M104" s="155">
        <v>101516.83</v>
      </c>
      <c r="N104" s="155">
        <v>152193.28</v>
      </c>
      <c r="O104" s="155">
        <v>150171.58</v>
      </c>
      <c r="P104" s="286">
        <v>103894.91</v>
      </c>
      <c r="Q104" s="86">
        <f t="shared" si="38"/>
        <v>1757141.7300000002</v>
      </c>
    </row>
    <row r="105" spans="1:17" s="4" customFormat="1" ht="12.75">
      <c r="A105" s="391"/>
      <c r="B105" s="471"/>
      <c r="C105" s="128" t="s">
        <v>2</v>
      </c>
      <c r="D105" s="155">
        <v>131552.97</v>
      </c>
      <c r="E105" s="155">
        <v>128348.15</v>
      </c>
      <c r="F105" s="155">
        <v>128037.87</v>
      </c>
      <c r="G105" s="155">
        <v>130232.77</v>
      </c>
      <c r="H105" s="155">
        <v>136527.8</v>
      </c>
      <c r="I105" s="155">
        <v>134566.27</v>
      </c>
      <c r="J105" s="155">
        <v>129880.38</v>
      </c>
      <c r="K105" s="155">
        <v>206920.17</v>
      </c>
      <c r="L105" s="155">
        <v>148374.62</v>
      </c>
      <c r="M105" s="155">
        <v>102244.28</v>
      </c>
      <c r="N105" s="155">
        <v>152124.81</v>
      </c>
      <c r="O105" s="155">
        <v>151829.55</v>
      </c>
      <c r="P105" s="286">
        <v>102618.55</v>
      </c>
      <c r="Q105" s="86">
        <f t="shared" si="38"/>
        <v>1783258.1900000002</v>
      </c>
    </row>
    <row r="106" spans="1:17" s="4" customFormat="1" ht="12.75">
      <c r="A106" s="391"/>
      <c r="B106" s="471"/>
      <c r="C106" s="128" t="s">
        <v>4</v>
      </c>
      <c r="D106" s="155">
        <f>+D104</f>
        <v>130544.41</v>
      </c>
      <c r="E106" s="155">
        <f aca="true" t="shared" si="39" ref="E106:P106">+E104</f>
        <v>129598.35</v>
      </c>
      <c r="F106" s="155">
        <f t="shared" si="39"/>
        <v>129800.69</v>
      </c>
      <c r="G106" s="155">
        <f t="shared" si="39"/>
        <v>131119.35</v>
      </c>
      <c r="H106" s="155">
        <f t="shared" si="39"/>
        <v>118395.03</v>
      </c>
      <c r="I106" s="155">
        <f t="shared" si="39"/>
        <v>131501.97</v>
      </c>
      <c r="J106" s="155">
        <f t="shared" si="39"/>
        <v>128883.61</v>
      </c>
      <c r="K106" s="155">
        <f t="shared" si="39"/>
        <v>200043.92</v>
      </c>
      <c r="L106" s="155">
        <f t="shared" si="39"/>
        <v>149477.8</v>
      </c>
      <c r="M106" s="155">
        <f t="shared" si="39"/>
        <v>101516.83</v>
      </c>
      <c r="N106" s="155">
        <f t="shared" si="39"/>
        <v>152193.28</v>
      </c>
      <c r="O106" s="155">
        <f t="shared" si="39"/>
        <v>150171.58</v>
      </c>
      <c r="P106" s="286">
        <f t="shared" si="39"/>
        <v>103894.91</v>
      </c>
      <c r="Q106" s="86">
        <f t="shared" si="38"/>
        <v>1757141.7300000002</v>
      </c>
    </row>
    <row r="107" spans="1:17" s="4" customFormat="1" ht="12.75">
      <c r="A107" s="391"/>
      <c r="B107" s="471"/>
      <c r="C107" s="128" t="s">
        <v>3</v>
      </c>
      <c r="D107" s="202">
        <f>D106+D103</f>
        <v>143278.15</v>
      </c>
      <c r="E107" s="202">
        <f>+E105</f>
        <v>128348.15</v>
      </c>
      <c r="F107" s="202">
        <f>+F105</f>
        <v>128037.87</v>
      </c>
      <c r="G107" s="202">
        <f>G106+G103</f>
        <v>141686.48</v>
      </c>
      <c r="H107" s="202">
        <f>+H105</f>
        <v>136527.8</v>
      </c>
      <c r="I107" s="202">
        <f>I106+I103</f>
        <v>145546.77</v>
      </c>
      <c r="J107" s="202">
        <f>J106+J103</f>
        <v>152216.6</v>
      </c>
      <c r="K107" s="202">
        <f>K106+K103</f>
        <v>223780.78000000003</v>
      </c>
      <c r="L107" s="202">
        <f>+L105</f>
        <v>148374.62</v>
      </c>
      <c r="M107" s="202">
        <f>M106+M103</f>
        <v>110604.63</v>
      </c>
      <c r="N107" s="202">
        <f>+N105</f>
        <v>152124.81</v>
      </c>
      <c r="O107" s="202">
        <f>O105</f>
        <v>151829.55</v>
      </c>
      <c r="P107" s="202">
        <f>P105</f>
        <v>102618.55</v>
      </c>
      <c r="Q107" s="86">
        <f t="shared" si="38"/>
        <v>1864974.7600000002</v>
      </c>
    </row>
    <row r="108" spans="1:17" s="3" customFormat="1" ht="13.5" thickBot="1">
      <c r="A108" s="391"/>
      <c r="B108" s="472"/>
      <c r="C108" s="140" t="s">
        <v>199</v>
      </c>
      <c r="D108" s="70">
        <f aca="true" t="shared" si="40" ref="D108:P108">D103+D104-D105</f>
        <v>11725.179999999993</v>
      </c>
      <c r="E108" s="70">
        <f t="shared" si="40"/>
        <v>29354.570000000007</v>
      </c>
      <c r="F108" s="70">
        <f t="shared" si="40"/>
        <v>35312.92000000001</v>
      </c>
      <c r="G108" s="70">
        <f>G103+G104-G105</f>
        <v>11453.710000000006</v>
      </c>
      <c r="H108" s="70">
        <f t="shared" si="40"/>
        <v>10360.970000000001</v>
      </c>
      <c r="I108" s="70">
        <f t="shared" si="40"/>
        <v>10980.5</v>
      </c>
      <c r="J108" s="70">
        <f t="shared" si="40"/>
        <v>22336.22</v>
      </c>
      <c r="K108" s="70">
        <f t="shared" si="40"/>
        <v>16860.610000000015</v>
      </c>
      <c r="L108" s="70">
        <f t="shared" si="40"/>
        <v>23094.98999999999</v>
      </c>
      <c r="M108" s="70">
        <f t="shared" si="40"/>
        <v>8360.350000000006</v>
      </c>
      <c r="N108" s="70">
        <f t="shared" si="40"/>
        <v>23274.679999999993</v>
      </c>
      <c r="O108" s="70">
        <f t="shared" si="40"/>
        <v>28858.079999999987</v>
      </c>
      <c r="P108" s="180">
        <f t="shared" si="40"/>
        <v>20657.800000000003</v>
      </c>
      <c r="Q108" s="75">
        <f t="shared" si="38"/>
        <v>252630.58000000002</v>
      </c>
    </row>
    <row r="109" spans="1:17" s="4" customFormat="1" ht="12.75">
      <c r="A109" s="391"/>
      <c r="B109" s="470" t="s">
        <v>19</v>
      </c>
      <c r="C109" s="136" t="s">
        <v>175</v>
      </c>
      <c r="D109" s="168">
        <v>14767.01</v>
      </c>
      <c r="E109" s="168">
        <v>31224.89</v>
      </c>
      <c r="F109" s="168">
        <v>35131.16</v>
      </c>
      <c r="G109" s="168">
        <v>10871.65</v>
      </c>
      <c r="H109" s="168">
        <v>25785.8</v>
      </c>
      <c r="I109" s="168">
        <v>16280.09</v>
      </c>
      <c r="J109" s="168">
        <v>26827.26</v>
      </c>
      <c r="K109" s="168">
        <v>29159.02</v>
      </c>
      <c r="L109" s="168">
        <v>27244.92</v>
      </c>
      <c r="M109" s="168">
        <v>10530.42</v>
      </c>
      <c r="N109" s="168">
        <v>26972.54</v>
      </c>
      <c r="O109" s="168">
        <v>26537.58</v>
      </c>
      <c r="P109" s="285">
        <v>22744.51</v>
      </c>
      <c r="Q109" s="106">
        <f t="shared" si="38"/>
        <v>304076.85000000003</v>
      </c>
    </row>
    <row r="110" spans="1:17" s="4" customFormat="1" ht="12.75">
      <c r="A110" s="391"/>
      <c r="B110" s="471"/>
      <c r="C110" s="128" t="s">
        <v>1</v>
      </c>
      <c r="D110" s="155">
        <v>151183.55</v>
      </c>
      <c r="E110" s="155">
        <v>150087.43</v>
      </c>
      <c r="F110" s="155">
        <v>150322.28</v>
      </c>
      <c r="G110" s="155">
        <v>114227.45</v>
      </c>
      <c r="H110" s="155">
        <v>99919.57</v>
      </c>
      <c r="I110" s="155">
        <v>152292.53</v>
      </c>
      <c r="J110" s="155">
        <v>149260.58</v>
      </c>
      <c r="K110" s="155">
        <v>245902.69</v>
      </c>
      <c r="L110" s="155">
        <v>183745.45</v>
      </c>
      <c r="M110" s="155">
        <v>117566.88</v>
      </c>
      <c r="N110" s="155">
        <v>176255.23</v>
      </c>
      <c r="O110" s="155">
        <v>163663.82</v>
      </c>
      <c r="P110" s="286">
        <v>120320.85</v>
      </c>
      <c r="Q110" s="86">
        <f t="shared" si="38"/>
        <v>1974748.3100000003</v>
      </c>
    </row>
    <row r="111" spans="1:17" s="4" customFormat="1" ht="12.75">
      <c r="A111" s="391"/>
      <c r="B111" s="471"/>
      <c r="C111" s="128" t="s">
        <v>2</v>
      </c>
      <c r="D111" s="155">
        <v>152359.2</v>
      </c>
      <c r="E111" s="155">
        <v>148648.51</v>
      </c>
      <c r="F111" s="155">
        <v>148128.71</v>
      </c>
      <c r="G111" s="155">
        <v>114340.22</v>
      </c>
      <c r="H111" s="155">
        <v>117429.03</v>
      </c>
      <c r="I111" s="155">
        <v>155854.08</v>
      </c>
      <c r="J111" s="155">
        <v>150414.88</v>
      </c>
      <c r="K111" s="155">
        <v>254352.42</v>
      </c>
      <c r="L111" s="155">
        <v>182396.18</v>
      </c>
      <c r="M111" s="155">
        <v>118414.76</v>
      </c>
      <c r="N111" s="155">
        <v>176180.63</v>
      </c>
      <c r="O111" s="155">
        <v>161355.05</v>
      </c>
      <c r="P111" s="286">
        <v>118929.34</v>
      </c>
      <c r="Q111" s="86">
        <f t="shared" si="38"/>
        <v>1998803.0100000002</v>
      </c>
    </row>
    <row r="112" spans="1:17" s="4" customFormat="1" ht="12.75">
      <c r="A112" s="391"/>
      <c r="B112" s="471"/>
      <c r="C112" s="128" t="s">
        <v>4</v>
      </c>
      <c r="D112" s="155">
        <f>+D110</f>
        <v>151183.55</v>
      </c>
      <c r="E112" s="155">
        <f aca="true" t="shared" si="41" ref="E112:P112">+E110</f>
        <v>150087.43</v>
      </c>
      <c r="F112" s="155">
        <f t="shared" si="41"/>
        <v>150322.28</v>
      </c>
      <c r="G112" s="155">
        <f t="shared" si="41"/>
        <v>114227.45</v>
      </c>
      <c r="H112" s="155">
        <f t="shared" si="41"/>
        <v>99919.57</v>
      </c>
      <c r="I112" s="155">
        <f t="shared" si="41"/>
        <v>152292.53</v>
      </c>
      <c r="J112" s="155">
        <f t="shared" si="41"/>
        <v>149260.58</v>
      </c>
      <c r="K112" s="155">
        <f t="shared" si="41"/>
        <v>245902.69</v>
      </c>
      <c r="L112" s="155">
        <f t="shared" si="41"/>
        <v>183745.45</v>
      </c>
      <c r="M112" s="155">
        <f t="shared" si="41"/>
        <v>117566.88</v>
      </c>
      <c r="N112" s="155">
        <f t="shared" si="41"/>
        <v>176255.23</v>
      </c>
      <c r="O112" s="155">
        <f t="shared" si="41"/>
        <v>163663.82</v>
      </c>
      <c r="P112" s="286">
        <f t="shared" si="41"/>
        <v>120320.85</v>
      </c>
      <c r="Q112" s="86">
        <f t="shared" si="38"/>
        <v>1974748.3100000003</v>
      </c>
    </row>
    <row r="113" spans="1:17" s="4" customFormat="1" ht="12.75">
      <c r="A113" s="391"/>
      <c r="B113" s="471"/>
      <c r="C113" s="128" t="s">
        <v>3</v>
      </c>
      <c r="D113" s="202">
        <f>D112+D109</f>
        <v>165950.56</v>
      </c>
      <c r="E113" s="202">
        <f>+E111</f>
        <v>148648.51</v>
      </c>
      <c r="F113" s="202">
        <f>+F111</f>
        <v>148128.71</v>
      </c>
      <c r="G113" s="202">
        <f>G112+G109</f>
        <v>125099.09999999999</v>
      </c>
      <c r="H113" s="202">
        <f>+H111</f>
        <v>117429.03</v>
      </c>
      <c r="I113" s="202">
        <f>I112+I109</f>
        <v>168572.62</v>
      </c>
      <c r="J113" s="202">
        <f>J112+J109</f>
        <v>176087.84</v>
      </c>
      <c r="K113" s="202">
        <f>K112+K109</f>
        <v>275061.71</v>
      </c>
      <c r="L113" s="202">
        <f>+L111</f>
        <v>182396.18</v>
      </c>
      <c r="M113" s="202">
        <f>M112+M109</f>
        <v>128097.3</v>
      </c>
      <c r="N113" s="202">
        <f>N112+N109</f>
        <v>203227.77000000002</v>
      </c>
      <c r="O113" s="202">
        <v>169603.84</v>
      </c>
      <c r="P113" s="202">
        <f>P111</f>
        <v>118929.34</v>
      </c>
      <c r="Q113" s="86">
        <f t="shared" si="38"/>
        <v>2127232.5100000002</v>
      </c>
    </row>
    <row r="114" spans="1:17" s="3" customFormat="1" ht="13.5" thickBot="1">
      <c r="A114" s="391"/>
      <c r="B114" s="472"/>
      <c r="C114" s="140" t="s">
        <v>199</v>
      </c>
      <c r="D114" s="70">
        <f aca="true" t="shared" si="42" ref="D114:P114">D109+D110-D111</f>
        <v>13591.359999999986</v>
      </c>
      <c r="E114" s="70">
        <f t="shared" si="42"/>
        <v>32663.809999999998</v>
      </c>
      <c r="F114" s="70">
        <f t="shared" si="42"/>
        <v>37324.73000000001</v>
      </c>
      <c r="G114" s="70">
        <f>G109+G110-G111</f>
        <v>10758.87999999999</v>
      </c>
      <c r="H114" s="70">
        <f t="shared" si="42"/>
        <v>8276.340000000011</v>
      </c>
      <c r="I114" s="70">
        <f t="shared" si="42"/>
        <v>12718.540000000008</v>
      </c>
      <c r="J114" s="70">
        <f t="shared" si="42"/>
        <v>25672.959999999992</v>
      </c>
      <c r="K114" s="70">
        <f t="shared" si="42"/>
        <v>20709.290000000008</v>
      </c>
      <c r="L114" s="70">
        <f t="shared" si="42"/>
        <v>28594.190000000002</v>
      </c>
      <c r="M114" s="70">
        <f t="shared" si="42"/>
        <v>9682.540000000008</v>
      </c>
      <c r="N114" s="70">
        <f t="shared" si="42"/>
        <v>27047.140000000014</v>
      </c>
      <c r="O114" s="70">
        <f t="shared" si="42"/>
        <v>28846.350000000035</v>
      </c>
      <c r="P114" s="180">
        <f t="shared" si="42"/>
        <v>24136.02000000002</v>
      </c>
      <c r="Q114" s="75">
        <f t="shared" si="38"/>
        <v>280022.1500000001</v>
      </c>
    </row>
    <row r="115" spans="1:17" s="24" customFormat="1" ht="12.75" customHeight="1" hidden="1" thickBot="1">
      <c r="A115" s="379"/>
      <c r="B115" s="456" t="s">
        <v>40</v>
      </c>
      <c r="C115" s="135" t="s">
        <v>156</v>
      </c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299"/>
      <c r="Q115" s="90">
        <f t="shared" si="38"/>
        <v>0</v>
      </c>
    </row>
    <row r="116" spans="1:17" s="24" customFormat="1" ht="14.25" customHeight="1" hidden="1" thickBot="1" thickTop="1">
      <c r="A116" s="379"/>
      <c r="B116" s="467"/>
      <c r="C116" s="128" t="s">
        <v>1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300"/>
      <c r="Q116" s="86">
        <f t="shared" si="38"/>
        <v>0</v>
      </c>
    </row>
    <row r="117" spans="1:17" s="24" customFormat="1" ht="14.25" customHeight="1" hidden="1" thickBot="1" thickTop="1">
      <c r="A117" s="379"/>
      <c r="B117" s="467"/>
      <c r="C117" s="128" t="s">
        <v>2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300"/>
      <c r="Q117" s="86">
        <f t="shared" si="38"/>
        <v>0</v>
      </c>
    </row>
    <row r="118" spans="1:17" s="24" customFormat="1" ht="14.25" customHeight="1" hidden="1" thickBot="1" thickTop="1">
      <c r="A118" s="379"/>
      <c r="B118" s="467"/>
      <c r="C118" s="128" t="s">
        <v>4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300"/>
      <c r="Q118" s="86">
        <f t="shared" si="38"/>
        <v>0</v>
      </c>
    </row>
    <row r="119" spans="1:17" s="24" customFormat="1" ht="14.25" customHeight="1" hidden="1" thickBot="1" thickTop="1">
      <c r="A119" s="379"/>
      <c r="B119" s="467"/>
      <c r="C119" s="128" t="s">
        <v>3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300"/>
      <c r="Q119" s="86">
        <f t="shared" si="38"/>
        <v>0</v>
      </c>
    </row>
    <row r="120" spans="1:17" s="3" customFormat="1" ht="14.25" customHeight="1" hidden="1" thickBot="1" thickTop="1">
      <c r="A120" s="379"/>
      <c r="B120" s="467"/>
      <c r="C120" s="15" t="s">
        <v>160</v>
      </c>
      <c r="D120" s="92">
        <f>D115+D116-D117</f>
        <v>0</v>
      </c>
      <c r="E120" s="92">
        <f>E115+E116-E117</f>
        <v>0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292">
        <f>P115+P116-P117</f>
        <v>0</v>
      </c>
      <c r="Q120" s="110">
        <f t="shared" si="38"/>
        <v>0</v>
      </c>
    </row>
    <row r="121" spans="1:17" s="24" customFormat="1" ht="13.5" customHeight="1" hidden="1" thickBot="1">
      <c r="A121" s="379"/>
      <c r="B121" s="467" t="s">
        <v>18</v>
      </c>
      <c r="C121" s="128" t="s">
        <v>156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300"/>
      <c r="Q121" s="86">
        <f t="shared" si="38"/>
        <v>0</v>
      </c>
    </row>
    <row r="122" spans="1:17" s="24" customFormat="1" ht="13.5" customHeight="1" hidden="1" thickBot="1">
      <c r="A122" s="379"/>
      <c r="B122" s="467"/>
      <c r="C122" s="128" t="s">
        <v>1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300"/>
      <c r="Q122" s="86">
        <f t="shared" si="38"/>
        <v>0</v>
      </c>
    </row>
    <row r="123" spans="1:17" s="24" customFormat="1" ht="13.5" customHeight="1" hidden="1" thickBot="1">
      <c r="A123" s="379"/>
      <c r="B123" s="467"/>
      <c r="C123" s="128" t="s">
        <v>2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300"/>
      <c r="Q123" s="86">
        <f t="shared" si="38"/>
        <v>0</v>
      </c>
    </row>
    <row r="124" spans="1:17" s="24" customFormat="1" ht="13.5" customHeight="1" hidden="1" thickBot="1">
      <c r="A124" s="379"/>
      <c r="B124" s="467"/>
      <c r="C124" s="128" t="s">
        <v>4</v>
      </c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300"/>
      <c r="Q124" s="86">
        <f t="shared" si="38"/>
        <v>0</v>
      </c>
    </row>
    <row r="125" spans="1:17" s="24" customFormat="1" ht="13.5" customHeight="1" hidden="1" thickBot="1">
      <c r="A125" s="379"/>
      <c r="B125" s="467"/>
      <c r="C125" s="128" t="s">
        <v>3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300"/>
      <c r="Q125" s="86">
        <f t="shared" si="38"/>
        <v>0</v>
      </c>
    </row>
    <row r="126" spans="1:17" s="3" customFormat="1" ht="13.5" customHeight="1" hidden="1" thickBot="1">
      <c r="A126" s="379"/>
      <c r="B126" s="467"/>
      <c r="C126" s="15" t="s">
        <v>160</v>
      </c>
      <c r="D126" s="92">
        <f>D121+D122-D123</f>
        <v>0</v>
      </c>
      <c r="E126" s="92">
        <f>E121+E122-E123</f>
        <v>0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292">
        <f>P121+P122-P123</f>
        <v>0</v>
      </c>
      <c r="Q126" s="110">
        <f t="shared" si="38"/>
        <v>0</v>
      </c>
    </row>
    <row r="127" spans="1:17" s="24" customFormat="1" ht="13.5" customHeight="1" hidden="1" thickBot="1">
      <c r="A127" s="379"/>
      <c r="B127" s="467" t="s">
        <v>19</v>
      </c>
      <c r="C127" s="128" t="s">
        <v>156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300"/>
      <c r="Q127" s="86">
        <f t="shared" si="38"/>
        <v>0</v>
      </c>
    </row>
    <row r="128" spans="1:17" s="24" customFormat="1" ht="13.5" customHeight="1" hidden="1" thickBot="1">
      <c r="A128" s="379"/>
      <c r="B128" s="467"/>
      <c r="C128" s="128" t="s">
        <v>1</v>
      </c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300"/>
      <c r="Q128" s="86">
        <f t="shared" si="38"/>
        <v>0</v>
      </c>
    </row>
    <row r="129" spans="1:17" s="24" customFormat="1" ht="13.5" customHeight="1" hidden="1" thickBot="1">
      <c r="A129" s="379"/>
      <c r="B129" s="467"/>
      <c r="C129" s="128" t="s">
        <v>2</v>
      </c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300"/>
      <c r="Q129" s="86">
        <f t="shared" si="38"/>
        <v>0</v>
      </c>
    </row>
    <row r="130" spans="1:17" s="24" customFormat="1" ht="13.5" customHeight="1" hidden="1" thickBot="1">
      <c r="A130" s="379"/>
      <c r="B130" s="467"/>
      <c r="C130" s="128" t="s">
        <v>4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300"/>
      <c r="Q130" s="86">
        <f t="shared" si="38"/>
        <v>0</v>
      </c>
    </row>
    <row r="131" spans="1:17" s="24" customFormat="1" ht="13.5" customHeight="1" hidden="1" thickBot="1">
      <c r="A131" s="379"/>
      <c r="B131" s="467"/>
      <c r="C131" s="128" t="s">
        <v>3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300"/>
      <c r="Q131" s="86">
        <f t="shared" si="38"/>
        <v>0</v>
      </c>
    </row>
    <row r="132" spans="1:17" s="3" customFormat="1" ht="13.5" customHeight="1" hidden="1" thickBot="1">
      <c r="A132" s="379"/>
      <c r="B132" s="467"/>
      <c r="C132" s="15" t="s">
        <v>160</v>
      </c>
      <c r="D132" s="92">
        <f>D127+D128-D129</f>
        <v>0</v>
      </c>
      <c r="E132" s="92">
        <f>E127+E128-E129</f>
        <v>0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292">
        <f>P127+P128-P129</f>
        <v>0</v>
      </c>
      <c r="Q132" s="110">
        <f t="shared" si="38"/>
        <v>0</v>
      </c>
    </row>
    <row r="133" spans="1:17" s="24" customFormat="1" ht="14.25" customHeight="1" hidden="1" thickBot="1" thickTop="1">
      <c r="A133" s="379" t="s">
        <v>20</v>
      </c>
      <c r="B133" s="467" t="s">
        <v>21</v>
      </c>
      <c r="C133" s="128" t="s">
        <v>156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300"/>
      <c r="Q133" s="86">
        <f t="shared" si="38"/>
        <v>0</v>
      </c>
    </row>
    <row r="134" spans="1:17" s="24" customFormat="1" ht="14.25" customHeight="1" hidden="1" thickBot="1" thickTop="1">
      <c r="A134" s="379"/>
      <c r="B134" s="467"/>
      <c r="C134" s="128" t="s">
        <v>1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300"/>
      <c r="Q134" s="86">
        <f t="shared" si="38"/>
        <v>0</v>
      </c>
    </row>
    <row r="135" spans="1:17" s="24" customFormat="1" ht="14.25" customHeight="1" hidden="1" thickBot="1" thickTop="1">
      <c r="A135" s="379"/>
      <c r="B135" s="467"/>
      <c r="C135" s="128" t="s">
        <v>2</v>
      </c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300"/>
      <c r="Q135" s="86">
        <f t="shared" si="38"/>
        <v>0</v>
      </c>
    </row>
    <row r="136" spans="1:17" s="24" customFormat="1" ht="14.25" customHeight="1" hidden="1" thickBot="1" thickTop="1">
      <c r="A136" s="379"/>
      <c r="B136" s="467"/>
      <c r="C136" s="128" t="s">
        <v>4</v>
      </c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300"/>
      <c r="Q136" s="86">
        <f t="shared" si="38"/>
        <v>0</v>
      </c>
    </row>
    <row r="137" spans="1:17" s="24" customFormat="1" ht="14.25" customHeight="1" hidden="1" thickBot="1" thickTop="1">
      <c r="A137" s="379"/>
      <c r="B137" s="467"/>
      <c r="C137" s="128" t="s">
        <v>3</v>
      </c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300"/>
      <c r="Q137" s="86">
        <f t="shared" si="38"/>
        <v>0</v>
      </c>
    </row>
    <row r="138" spans="1:17" s="3" customFormat="1" ht="14.25" customHeight="1" hidden="1" thickBot="1" thickTop="1">
      <c r="A138" s="379"/>
      <c r="B138" s="467"/>
      <c r="C138" s="15" t="s">
        <v>160</v>
      </c>
      <c r="D138" s="92">
        <f>D133+D134-D135</f>
        <v>0</v>
      </c>
      <c r="E138" s="92">
        <f>E133+E134-E135</f>
        <v>0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292">
        <f>P133+P134-P135</f>
        <v>0</v>
      </c>
      <c r="Q138" s="110">
        <f t="shared" si="38"/>
        <v>0</v>
      </c>
    </row>
    <row r="139" spans="1:17" s="24" customFormat="1" ht="12.75" customHeight="1" hidden="1" thickBot="1">
      <c r="A139" s="379" t="s">
        <v>22</v>
      </c>
      <c r="B139" s="467" t="s">
        <v>21</v>
      </c>
      <c r="C139" s="128" t="s">
        <v>156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300"/>
      <c r="Q139" s="86">
        <f t="shared" si="38"/>
        <v>0</v>
      </c>
    </row>
    <row r="140" spans="1:17" s="24" customFormat="1" ht="13.5" customHeight="1" hidden="1" thickBot="1">
      <c r="A140" s="379"/>
      <c r="B140" s="467"/>
      <c r="C140" s="128" t="s">
        <v>1</v>
      </c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300"/>
      <c r="Q140" s="86">
        <f t="shared" si="38"/>
        <v>0</v>
      </c>
    </row>
    <row r="141" spans="1:17" s="24" customFormat="1" ht="13.5" customHeight="1" hidden="1" thickBot="1">
      <c r="A141" s="379"/>
      <c r="B141" s="467"/>
      <c r="C141" s="128" t="s">
        <v>2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300"/>
      <c r="Q141" s="86">
        <f t="shared" si="38"/>
        <v>0</v>
      </c>
    </row>
    <row r="142" spans="1:17" s="24" customFormat="1" ht="13.5" customHeight="1" hidden="1" thickBot="1">
      <c r="A142" s="379"/>
      <c r="B142" s="467"/>
      <c r="C142" s="128" t="s">
        <v>4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300"/>
      <c r="Q142" s="86">
        <f t="shared" si="38"/>
        <v>0</v>
      </c>
    </row>
    <row r="143" spans="1:17" s="24" customFormat="1" ht="13.5" customHeight="1" hidden="1" thickBot="1">
      <c r="A143" s="379"/>
      <c r="B143" s="467"/>
      <c r="C143" s="128" t="s">
        <v>3</v>
      </c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300"/>
      <c r="Q143" s="86">
        <f t="shared" si="38"/>
        <v>0</v>
      </c>
    </row>
    <row r="144" spans="1:17" s="3" customFormat="1" ht="13.5" customHeight="1" hidden="1" thickBot="1">
      <c r="A144" s="379"/>
      <c r="B144" s="467"/>
      <c r="C144" s="15" t="s">
        <v>160</v>
      </c>
      <c r="D144" s="92">
        <f>D139+D140-D141</f>
        <v>0</v>
      </c>
      <c r="E144" s="92">
        <f>E139+E140-E141</f>
        <v>0</v>
      </c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292">
        <f>P139+P140-P141</f>
        <v>0</v>
      </c>
      <c r="Q144" s="110">
        <f t="shared" si="38"/>
        <v>0</v>
      </c>
    </row>
    <row r="145" spans="1:17" s="3" customFormat="1" ht="13.5" customHeight="1" hidden="1" thickBot="1">
      <c r="A145" s="379" t="s">
        <v>32</v>
      </c>
      <c r="B145" s="467" t="s">
        <v>19</v>
      </c>
      <c r="C145" s="128" t="s">
        <v>156</v>
      </c>
      <c r="D145" s="80"/>
      <c r="E145" s="80"/>
      <c r="F145" s="80"/>
      <c r="G145" s="80">
        <v>-1885.7</v>
      </c>
      <c r="H145" s="80">
        <v>0</v>
      </c>
      <c r="I145" s="80"/>
      <c r="J145" s="80">
        <v>-4696.76</v>
      </c>
      <c r="K145" s="80"/>
      <c r="L145" s="80"/>
      <c r="M145" s="80"/>
      <c r="N145" s="80"/>
      <c r="O145" s="80">
        <v>3712</v>
      </c>
      <c r="P145" s="291"/>
      <c r="Q145" s="86">
        <f t="shared" si="38"/>
        <v>-2870.46</v>
      </c>
    </row>
    <row r="146" spans="1:17" s="3" customFormat="1" ht="13.5" customHeight="1" hidden="1" thickBot="1">
      <c r="A146" s="379"/>
      <c r="B146" s="467"/>
      <c r="C146" s="128" t="s">
        <v>1</v>
      </c>
      <c r="D146" s="80"/>
      <c r="E146" s="80"/>
      <c r="F146" s="80"/>
      <c r="G146" s="80">
        <v>0</v>
      </c>
      <c r="H146" s="80">
        <v>0</v>
      </c>
      <c r="I146" s="80"/>
      <c r="J146" s="80">
        <v>0</v>
      </c>
      <c r="K146" s="80"/>
      <c r="L146" s="80"/>
      <c r="M146" s="80"/>
      <c r="N146" s="80"/>
      <c r="O146" s="80">
        <v>0</v>
      </c>
      <c r="P146" s="291"/>
      <c r="Q146" s="86">
        <f t="shared" si="38"/>
        <v>0</v>
      </c>
    </row>
    <row r="147" spans="1:17" s="3" customFormat="1" ht="13.5" customHeight="1" hidden="1" thickBot="1">
      <c r="A147" s="379"/>
      <c r="B147" s="467"/>
      <c r="C147" s="128" t="s">
        <v>2</v>
      </c>
      <c r="D147" s="80"/>
      <c r="E147" s="80"/>
      <c r="F147" s="80"/>
      <c r="G147" s="80">
        <v>0.27</v>
      </c>
      <c r="H147" s="80">
        <v>1622.1</v>
      </c>
      <c r="I147" s="80"/>
      <c r="J147" s="80">
        <v>2.46</v>
      </c>
      <c r="K147" s="80"/>
      <c r="L147" s="80"/>
      <c r="M147" s="80"/>
      <c r="N147" s="80"/>
      <c r="O147" s="80">
        <v>112.37</v>
      </c>
      <c r="P147" s="291"/>
      <c r="Q147" s="86">
        <f t="shared" si="38"/>
        <v>1737.1999999999998</v>
      </c>
    </row>
    <row r="148" spans="1:17" s="3" customFormat="1" ht="13.5" customHeight="1" hidden="1" thickBot="1">
      <c r="A148" s="379"/>
      <c r="B148" s="467"/>
      <c r="C148" s="128" t="s">
        <v>4</v>
      </c>
      <c r="D148" s="130">
        <f aca="true" t="shared" si="43" ref="D148:P148">D146</f>
        <v>0</v>
      </c>
      <c r="E148" s="130">
        <f t="shared" si="43"/>
        <v>0</v>
      </c>
      <c r="F148" s="130">
        <f t="shared" si="43"/>
        <v>0</v>
      </c>
      <c r="G148" s="130">
        <f>G146</f>
        <v>0</v>
      </c>
      <c r="H148" s="130">
        <f t="shared" si="43"/>
        <v>0</v>
      </c>
      <c r="I148" s="130">
        <f t="shared" si="43"/>
        <v>0</v>
      </c>
      <c r="J148" s="130">
        <f t="shared" si="43"/>
        <v>0</v>
      </c>
      <c r="K148" s="130">
        <f t="shared" si="43"/>
        <v>0</v>
      </c>
      <c r="L148" s="130">
        <f t="shared" si="43"/>
        <v>0</v>
      </c>
      <c r="M148" s="130">
        <f t="shared" si="43"/>
        <v>0</v>
      </c>
      <c r="N148" s="130">
        <f>N146</f>
        <v>0</v>
      </c>
      <c r="O148" s="130">
        <f>O146</f>
        <v>0</v>
      </c>
      <c r="P148" s="300">
        <f t="shared" si="43"/>
        <v>0</v>
      </c>
      <c r="Q148" s="86">
        <f t="shared" si="38"/>
        <v>0</v>
      </c>
    </row>
    <row r="149" spans="1:17" s="3" customFormat="1" ht="13.5" customHeight="1" hidden="1" thickBot="1">
      <c r="A149" s="379"/>
      <c r="B149" s="467"/>
      <c r="C149" s="128" t="s">
        <v>3</v>
      </c>
      <c r="D149" s="130">
        <f aca="true" t="shared" si="44" ref="D149:P149">D146</f>
        <v>0</v>
      </c>
      <c r="E149" s="130">
        <f t="shared" si="44"/>
        <v>0</v>
      </c>
      <c r="F149" s="130">
        <f t="shared" si="44"/>
        <v>0</v>
      </c>
      <c r="G149" s="130">
        <f>G146</f>
        <v>0</v>
      </c>
      <c r="H149" s="130">
        <f t="shared" si="44"/>
        <v>0</v>
      </c>
      <c r="I149" s="130">
        <f t="shared" si="44"/>
        <v>0</v>
      </c>
      <c r="J149" s="130">
        <f t="shared" si="44"/>
        <v>0</v>
      </c>
      <c r="K149" s="130">
        <f t="shared" si="44"/>
        <v>0</v>
      </c>
      <c r="L149" s="130">
        <f t="shared" si="44"/>
        <v>0</v>
      </c>
      <c r="M149" s="130">
        <f t="shared" si="44"/>
        <v>0</v>
      </c>
      <c r="N149" s="130">
        <f>N146</f>
        <v>0</v>
      </c>
      <c r="O149" s="130">
        <f>O146</f>
        <v>0</v>
      </c>
      <c r="P149" s="300">
        <f t="shared" si="44"/>
        <v>0</v>
      </c>
      <c r="Q149" s="86">
        <f t="shared" si="38"/>
        <v>0</v>
      </c>
    </row>
    <row r="150" spans="1:17" s="3" customFormat="1" ht="13.5" customHeight="1" hidden="1" thickBot="1">
      <c r="A150" s="379"/>
      <c r="B150" s="454"/>
      <c r="C150" s="16" t="s">
        <v>160</v>
      </c>
      <c r="D150" s="134">
        <f aca="true" t="shared" si="45" ref="D150:P150">D145+D146-D147</f>
        <v>0</v>
      </c>
      <c r="E150" s="134">
        <f t="shared" si="45"/>
        <v>0</v>
      </c>
      <c r="F150" s="134">
        <f t="shared" si="45"/>
        <v>0</v>
      </c>
      <c r="G150" s="134">
        <f>G145+G146-G147</f>
        <v>-1885.97</v>
      </c>
      <c r="H150" s="134">
        <f t="shared" si="45"/>
        <v>-1622.1</v>
      </c>
      <c r="I150" s="134">
        <f t="shared" si="45"/>
        <v>0</v>
      </c>
      <c r="J150" s="134">
        <f t="shared" si="45"/>
        <v>-4699.22</v>
      </c>
      <c r="K150" s="134">
        <f t="shared" si="45"/>
        <v>0</v>
      </c>
      <c r="L150" s="134">
        <f t="shared" si="45"/>
        <v>0</v>
      </c>
      <c r="M150" s="134">
        <f t="shared" si="45"/>
        <v>0</v>
      </c>
      <c r="N150" s="134">
        <f>N145+N146-N147</f>
        <v>0</v>
      </c>
      <c r="O150" s="134">
        <f>O145+O146-O147</f>
        <v>3599.63</v>
      </c>
      <c r="P150" s="293">
        <f t="shared" si="45"/>
        <v>0</v>
      </c>
      <c r="Q150" s="114">
        <f t="shared" si="38"/>
        <v>-4607.660000000001</v>
      </c>
    </row>
    <row r="151" spans="1:17" s="3" customFormat="1" ht="13.5" customHeight="1">
      <c r="A151" s="391" t="s">
        <v>142</v>
      </c>
      <c r="B151" s="470" t="s">
        <v>165</v>
      </c>
      <c r="C151" s="136" t="s">
        <v>175</v>
      </c>
      <c r="D151" s="168">
        <f>-467.08+816.78</f>
        <v>349.7</v>
      </c>
      <c r="E151" s="168">
        <f>15.05+1474.44</f>
        <v>1489.49</v>
      </c>
      <c r="F151" s="168">
        <f>629.29+1743.88</f>
        <v>2373.17</v>
      </c>
      <c r="G151" s="168">
        <f>-72.74+682.86</f>
        <v>610.12</v>
      </c>
      <c r="H151" s="168">
        <f>194.17+1463.92</f>
        <v>1658.0900000000001</v>
      </c>
      <c r="I151" s="168">
        <f>-273.07+876.82</f>
        <v>603.75</v>
      </c>
      <c r="J151" s="168">
        <f>98.84+1261.89</f>
        <v>1360.73</v>
      </c>
      <c r="K151" s="168">
        <f>-3+1490.69</f>
        <v>1487.69</v>
      </c>
      <c r="L151" s="168">
        <f>64.66+1382.93</f>
        <v>1447.5900000000001</v>
      </c>
      <c r="M151" s="168">
        <f>-0.01+578.04</f>
        <v>578.03</v>
      </c>
      <c r="N151" s="168">
        <f>-437.79+1525.37</f>
        <v>1087.58</v>
      </c>
      <c r="O151" s="168">
        <f>0.04+2102.44</f>
        <v>2102.48</v>
      </c>
      <c r="P151" s="285">
        <f>-24.16+1431.78</f>
        <v>1407.62</v>
      </c>
      <c r="Q151" s="106">
        <f t="shared" si="38"/>
        <v>16556.04</v>
      </c>
    </row>
    <row r="152" spans="1:17" s="3" customFormat="1" ht="13.5" customHeight="1">
      <c r="A152" s="391"/>
      <c r="B152" s="471"/>
      <c r="C152" s="128" t="s">
        <v>1</v>
      </c>
      <c r="D152" s="155">
        <f>467.08+8254.78</f>
        <v>8721.86</v>
      </c>
      <c r="E152" s="155">
        <f>-11.57+8195.92</f>
        <v>8184.35</v>
      </c>
      <c r="F152" s="155">
        <f>-606.07+8208.16</f>
        <v>7602.09</v>
      </c>
      <c r="G152" s="155">
        <f>72.75+8292.46</f>
        <v>8365.21</v>
      </c>
      <c r="H152" s="155">
        <f>-167.8+7804.75</f>
        <v>7636.95</v>
      </c>
      <c r="I152" s="155">
        <f>273.08+8315.56</f>
        <v>8588.64</v>
      </c>
      <c r="J152" s="155">
        <f>-98.84+8151.85</f>
        <v>8053.01</v>
      </c>
      <c r="K152" s="155">
        <f>4.24+12651.48</f>
        <v>12655.72</v>
      </c>
      <c r="L152" s="155">
        <f>-64.48+9453.41</f>
        <v>9388.93</v>
      </c>
      <c r="M152" s="155">
        <f>0.01+6419.73</f>
        <v>6419.74</v>
      </c>
      <c r="N152" s="155">
        <f>437.83+9624.2</f>
        <v>10062.03</v>
      </c>
      <c r="O152" s="155">
        <f>82.33+9496.22</f>
        <v>9578.55</v>
      </c>
      <c r="P152" s="286">
        <f>69.95+6570.01</f>
        <v>6639.96</v>
      </c>
      <c r="Q152" s="86">
        <f t="shared" si="38"/>
        <v>111897.04</v>
      </c>
    </row>
    <row r="153" spans="1:17" s="3" customFormat="1" ht="13.5" customHeight="1">
      <c r="A153" s="391"/>
      <c r="B153" s="471"/>
      <c r="C153" s="128" t="s">
        <v>2</v>
      </c>
      <c r="D153" s="155">
        <v>8323.06</v>
      </c>
      <c r="E153" s="155">
        <f>3.48+8126.29</f>
        <v>8129.7699999999995</v>
      </c>
      <c r="F153" s="155">
        <f>23.22+8086.12</f>
        <v>8109.34</v>
      </c>
      <c r="G153" s="155">
        <f>0.01+8242.13</f>
        <v>8242.14</v>
      </c>
      <c r="H153" s="155">
        <f>26.37+8592.75</f>
        <v>8619.12</v>
      </c>
      <c r="I153" s="155">
        <f>0.01+8516.7</f>
        <v>8516.710000000001</v>
      </c>
      <c r="J153" s="155">
        <v>8215.12</v>
      </c>
      <c r="K153" s="155">
        <f>1.24+13080.89</f>
        <v>13082.13</v>
      </c>
      <c r="L153" s="155">
        <f>0.18+9383.4</f>
        <v>9383.58</v>
      </c>
      <c r="M153" s="155">
        <v>6468.87</v>
      </c>
      <c r="N153" s="155">
        <f>0.04+9622.92</f>
        <v>9622.960000000001</v>
      </c>
      <c r="O153" s="155">
        <f>82.37+9635.18</f>
        <v>9717.550000000001</v>
      </c>
      <c r="P153" s="286">
        <f>45.79+6542.26</f>
        <v>6588.05</v>
      </c>
      <c r="Q153" s="86">
        <f t="shared" si="38"/>
        <v>113018.40000000001</v>
      </c>
    </row>
    <row r="154" spans="1:17" s="3" customFormat="1" ht="13.5" customHeight="1">
      <c r="A154" s="391"/>
      <c r="B154" s="471"/>
      <c r="C154" s="128" t="s">
        <v>4</v>
      </c>
      <c r="D154" s="155">
        <f>+D152</f>
        <v>8721.86</v>
      </c>
      <c r="E154" s="155">
        <f aca="true" t="shared" si="46" ref="E154:L154">+E152</f>
        <v>8184.35</v>
      </c>
      <c r="F154" s="155">
        <f t="shared" si="46"/>
        <v>7602.09</v>
      </c>
      <c r="G154" s="155">
        <f t="shared" si="46"/>
        <v>8365.21</v>
      </c>
      <c r="H154" s="155">
        <f t="shared" si="46"/>
        <v>7636.95</v>
      </c>
      <c r="I154" s="155">
        <f t="shared" si="46"/>
        <v>8588.64</v>
      </c>
      <c r="J154" s="155">
        <f t="shared" si="46"/>
        <v>8053.01</v>
      </c>
      <c r="K154" s="155">
        <f t="shared" si="46"/>
        <v>12655.72</v>
      </c>
      <c r="L154" s="155">
        <f t="shared" si="46"/>
        <v>9388.93</v>
      </c>
      <c r="M154" s="155">
        <f>+M152</f>
        <v>6419.74</v>
      </c>
      <c r="N154" s="155">
        <f>+N152</f>
        <v>10062.03</v>
      </c>
      <c r="O154" s="155">
        <f>+O152</f>
        <v>9578.55</v>
      </c>
      <c r="P154" s="286">
        <f>+P152</f>
        <v>6639.96</v>
      </c>
      <c r="Q154" s="86">
        <f t="shared" si="38"/>
        <v>111897.04</v>
      </c>
    </row>
    <row r="155" spans="1:17" s="3" customFormat="1" ht="13.5" customHeight="1">
      <c r="A155" s="391"/>
      <c r="B155" s="471"/>
      <c r="C155" s="128" t="s">
        <v>3</v>
      </c>
      <c r="D155" s="202">
        <f>+D153</f>
        <v>8323.06</v>
      </c>
      <c r="E155" s="202">
        <f aca="true" t="shared" si="47" ref="E155:L155">+E153</f>
        <v>8129.7699999999995</v>
      </c>
      <c r="F155" s="202">
        <f t="shared" si="47"/>
        <v>8109.34</v>
      </c>
      <c r="G155" s="202">
        <f t="shared" si="47"/>
        <v>8242.14</v>
      </c>
      <c r="H155" s="202">
        <f t="shared" si="47"/>
        <v>8619.12</v>
      </c>
      <c r="I155" s="202">
        <f t="shared" si="47"/>
        <v>8516.710000000001</v>
      </c>
      <c r="J155" s="202">
        <f>J154+J151</f>
        <v>9413.74</v>
      </c>
      <c r="K155" s="202">
        <f>K154+K151</f>
        <v>14143.41</v>
      </c>
      <c r="L155" s="202">
        <f t="shared" si="47"/>
        <v>9383.58</v>
      </c>
      <c r="M155" s="202">
        <f>M154+M151</f>
        <v>6997.7699999999995</v>
      </c>
      <c r="N155" s="202">
        <f>N154+N151</f>
        <v>11149.61</v>
      </c>
      <c r="O155" s="202">
        <f>O154+O151</f>
        <v>11681.029999999999</v>
      </c>
      <c r="P155" s="202">
        <f>P153</f>
        <v>6588.05</v>
      </c>
      <c r="Q155" s="86">
        <f t="shared" si="38"/>
        <v>119297.33</v>
      </c>
    </row>
    <row r="156" spans="1:17" s="3" customFormat="1" ht="13.5" customHeight="1" thickBot="1">
      <c r="A156" s="391"/>
      <c r="B156" s="472"/>
      <c r="C156" s="140" t="s">
        <v>199</v>
      </c>
      <c r="D156" s="70">
        <f>D151+D152-D153</f>
        <v>748.5000000000018</v>
      </c>
      <c r="E156" s="70">
        <f>E151+E152-E153</f>
        <v>1544.0700000000006</v>
      </c>
      <c r="F156" s="70">
        <f>F151+F152-F153</f>
        <v>1865.92</v>
      </c>
      <c r="G156" s="70">
        <f>G151+G152-G153</f>
        <v>733.1900000000005</v>
      </c>
      <c r="H156" s="70">
        <f aca="true" t="shared" si="48" ref="H156:P156">H151+H152-H153</f>
        <v>675.9200000000001</v>
      </c>
      <c r="I156" s="70">
        <f t="shared" si="48"/>
        <v>675.6799999999985</v>
      </c>
      <c r="J156" s="70">
        <f t="shared" si="48"/>
        <v>1198.619999999999</v>
      </c>
      <c r="K156" s="70">
        <f t="shared" si="48"/>
        <v>1061.2800000000007</v>
      </c>
      <c r="L156" s="70">
        <f t="shared" si="48"/>
        <v>1452.9400000000005</v>
      </c>
      <c r="M156" s="70">
        <f t="shared" si="48"/>
        <v>528.8999999999996</v>
      </c>
      <c r="N156" s="70">
        <f t="shared" si="48"/>
        <v>1526.6499999999996</v>
      </c>
      <c r="O156" s="70">
        <f t="shared" si="48"/>
        <v>1963.4799999999977</v>
      </c>
      <c r="P156" s="180">
        <f t="shared" si="48"/>
        <v>1459.5299999999997</v>
      </c>
      <c r="Q156" s="75">
        <f t="shared" si="38"/>
        <v>15434.679999999997</v>
      </c>
    </row>
    <row r="157" spans="1:17" s="3" customFormat="1" ht="13.5" customHeight="1">
      <c r="A157" s="391"/>
      <c r="B157" s="470" t="s">
        <v>152</v>
      </c>
      <c r="C157" s="136" t="s">
        <v>175</v>
      </c>
      <c r="D157" s="207">
        <v>2396.44</v>
      </c>
      <c r="E157" s="207">
        <v>4282.1</v>
      </c>
      <c r="F157" s="207">
        <v>5058.92</v>
      </c>
      <c r="G157" s="207">
        <v>2004.32</v>
      </c>
      <c r="H157" s="207">
        <v>4271.02</v>
      </c>
      <c r="I157" s="207">
        <v>2581.15</v>
      </c>
      <c r="J157" s="207">
        <v>3679.28</v>
      </c>
      <c r="K157" s="207">
        <v>4377.06</v>
      </c>
      <c r="L157" s="207">
        <v>4049.89</v>
      </c>
      <c r="M157" s="207">
        <v>1697.23</v>
      </c>
      <c r="N157" s="207">
        <v>4465.71</v>
      </c>
      <c r="O157" s="207">
        <v>6110.54</v>
      </c>
      <c r="P157" s="288">
        <v>4155.07</v>
      </c>
      <c r="Q157" s="106">
        <f aca="true" t="shared" si="49" ref="Q157:Q162">SUM(D157:P157)</f>
        <v>49128.73</v>
      </c>
    </row>
    <row r="158" spans="1:17" s="3" customFormat="1" ht="13.5" customHeight="1">
      <c r="A158" s="391"/>
      <c r="B158" s="471"/>
      <c r="C158" s="128" t="s">
        <v>1</v>
      </c>
      <c r="D158" s="155">
        <v>23783.34</v>
      </c>
      <c r="E158" s="155">
        <v>24086.39</v>
      </c>
      <c r="F158" s="155">
        <v>24718.04</v>
      </c>
      <c r="G158" s="155">
        <v>24285.63</v>
      </c>
      <c r="H158" s="155">
        <v>22801.06</v>
      </c>
      <c r="I158" s="155">
        <v>24155.22</v>
      </c>
      <c r="J158" s="155">
        <v>24042.45</v>
      </c>
      <c r="K158" s="155">
        <v>37157.77</v>
      </c>
      <c r="L158" s="155">
        <v>27832.6</v>
      </c>
      <c r="M158" s="155">
        <v>18858.52</v>
      </c>
      <c r="N158" s="155">
        <v>27834.34</v>
      </c>
      <c r="O158" s="155">
        <v>27813.4</v>
      </c>
      <c r="P158" s="286">
        <v>19238.7</v>
      </c>
      <c r="Q158" s="86">
        <f t="shared" si="49"/>
        <v>326607.46</v>
      </c>
    </row>
    <row r="159" spans="1:17" s="3" customFormat="1" ht="13.5" customHeight="1">
      <c r="A159" s="391"/>
      <c r="B159" s="471"/>
      <c r="C159" s="128" t="s">
        <v>2</v>
      </c>
      <c r="D159" s="155">
        <v>24274.79</v>
      </c>
      <c r="E159" s="155">
        <v>23650.12</v>
      </c>
      <c r="F159" s="155">
        <v>23738.95</v>
      </c>
      <c r="G159" s="155">
        <v>24192.91</v>
      </c>
      <c r="H159" s="155">
        <v>25182.97</v>
      </c>
      <c r="I159" s="155">
        <v>24841.17</v>
      </c>
      <c r="J159" s="155">
        <v>24070.92</v>
      </c>
      <c r="K159" s="155">
        <v>38417.01</v>
      </c>
      <c r="L159" s="155">
        <v>27548.08</v>
      </c>
      <c r="M159" s="155">
        <v>19002.07</v>
      </c>
      <c r="N159" s="155">
        <v>28167.44</v>
      </c>
      <c r="O159" s="155">
        <v>28049.06</v>
      </c>
      <c r="P159" s="286">
        <v>19065.16</v>
      </c>
      <c r="Q159" s="86">
        <f t="shared" si="49"/>
        <v>330200.65</v>
      </c>
    </row>
    <row r="160" spans="1:17" s="3" customFormat="1" ht="13.5" customHeight="1">
      <c r="A160" s="391"/>
      <c r="B160" s="471"/>
      <c r="C160" s="128" t="s">
        <v>4</v>
      </c>
      <c r="D160" s="155">
        <f>+D158</f>
        <v>23783.34</v>
      </c>
      <c r="E160" s="155">
        <f aca="true" t="shared" si="50" ref="E160:P160">+E158</f>
        <v>24086.39</v>
      </c>
      <c r="F160" s="155">
        <f t="shared" si="50"/>
        <v>24718.04</v>
      </c>
      <c r="G160" s="155">
        <f t="shared" si="50"/>
        <v>24285.63</v>
      </c>
      <c r="H160" s="155">
        <f t="shared" si="50"/>
        <v>22801.06</v>
      </c>
      <c r="I160" s="155">
        <f t="shared" si="50"/>
        <v>24155.22</v>
      </c>
      <c r="J160" s="155">
        <f t="shared" si="50"/>
        <v>24042.45</v>
      </c>
      <c r="K160" s="155">
        <f t="shared" si="50"/>
        <v>37157.77</v>
      </c>
      <c r="L160" s="155">
        <f t="shared" si="50"/>
        <v>27832.6</v>
      </c>
      <c r="M160" s="155">
        <f t="shared" si="50"/>
        <v>18858.52</v>
      </c>
      <c r="N160" s="155">
        <f t="shared" si="50"/>
        <v>27834.34</v>
      </c>
      <c r="O160" s="155">
        <f t="shared" si="50"/>
        <v>27813.4</v>
      </c>
      <c r="P160" s="286">
        <f t="shared" si="50"/>
        <v>19238.7</v>
      </c>
      <c r="Q160" s="86">
        <f t="shared" si="49"/>
        <v>326607.46</v>
      </c>
    </row>
    <row r="161" spans="1:17" s="3" customFormat="1" ht="13.5" customHeight="1">
      <c r="A161" s="391"/>
      <c r="B161" s="471"/>
      <c r="C161" s="128" t="s">
        <v>3</v>
      </c>
      <c r="D161" s="202">
        <f>D160+D157</f>
        <v>26179.78</v>
      </c>
      <c r="E161" s="202">
        <f>+E159</f>
        <v>23650.12</v>
      </c>
      <c r="F161" s="202">
        <f>+F159</f>
        <v>23738.95</v>
      </c>
      <c r="G161" s="202">
        <f>G160+G157</f>
        <v>26289.95</v>
      </c>
      <c r="H161" s="202">
        <f>+H159</f>
        <v>25182.97</v>
      </c>
      <c r="I161" s="202">
        <f>I160+I157</f>
        <v>26736.370000000003</v>
      </c>
      <c r="J161" s="202">
        <f>J160+J157</f>
        <v>27721.73</v>
      </c>
      <c r="K161" s="202">
        <f>K160+K157</f>
        <v>41534.829999999994</v>
      </c>
      <c r="L161" s="202">
        <f>+L159</f>
        <v>27548.08</v>
      </c>
      <c r="M161" s="202">
        <f>M160+M157</f>
        <v>20555.75</v>
      </c>
      <c r="N161" s="202">
        <f>N160+N157</f>
        <v>32300.05</v>
      </c>
      <c r="O161" s="202">
        <f>O160+O157</f>
        <v>33923.94</v>
      </c>
      <c r="P161" s="202">
        <f>P159</f>
        <v>19065.16</v>
      </c>
      <c r="Q161" s="86">
        <f t="shared" si="49"/>
        <v>354427.67999999993</v>
      </c>
    </row>
    <row r="162" spans="1:17" s="3" customFormat="1" ht="13.5" customHeight="1" thickBot="1">
      <c r="A162" s="391"/>
      <c r="B162" s="472"/>
      <c r="C162" s="140" t="s">
        <v>199</v>
      </c>
      <c r="D162" s="70">
        <f>D157+D158-D159</f>
        <v>1904.989999999998</v>
      </c>
      <c r="E162" s="70">
        <f>E157+E158-E159</f>
        <v>4718.369999999999</v>
      </c>
      <c r="F162" s="70">
        <f>F157+F158-F159</f>
        <v>6038.009999999998</v>
      </c>
      <c r="G162" s="70">
        <f>G157+G158-G159</f>
        <v>2097.040000000001</v>
      </c>
      <c r="H162" s="70">
        <f aca="true" t="shared" si="51" ref="H162:P162">H157+H158-H159</f>
        <v>1889.1100000000006</v>
      </c>
      <c r="I162" s="70">
        <f t="shared" si="51"/>
        <v>1895.2000000000044</v>
      </c>
      <c r="J162" s="70">
        <f t="shared" si="51"/>
        <v>3650.8100000000013</v>
      </c>
      <c r="K162" s="70">
        <f t="shared" si="51"/>
        <v>3117.8199999999924</v>
      </c>
      <c r="L162" s="70">
        <f t="shared" si="51"/>
        <v>4334.409999999996</v>
      </c>
      <c r="M162" s="70">
        <f t="shared" si="51"/>
        <v>1553.6800000000003</v>
      </c>
      <c r="N162" s="70">
        <f t="shared" si="51"/>
        <v>4132.610000000001</v>
      </c>
      <c r="O162" s="70">
        <f t="shared" si="51"/>
        <v>5874.880000000001</v>
      </c>
      <c r="P162" s="180">
        <f t="shared" si="51"/>
        <v>4328.610000000001</v>
      </c>
      <c r="Q162" s="75">
        <f t="shared" si="49"/>
        <v>45535.53999999999</v>
      </c>
    </row>
    <row r="163" spans="1:17" s="3" customFormat="1" ht="13.5" customHeight="1">
      <c r="A163" s="391"/>
      <c r="B163" s="470" t="s">
        <v>153</v>
      </c>
      <c r="C163" s="136" t="s">
        <v>175</v>
      </c>
      <c r="D163" s="207">
        <v>816.79</v>
      </c>
      <c r="E163" s="207">
        <v>1474.44</v>
      </c>
      <c r="F163" s="207">
        <v>1743.87</v>
      </c>
      <c r="G163" s="207">
        <v>682.86</v>
      </c>
      <c r="H163" s="207">
        <v>1463.93</v>
      </c>
      <c r="I163" s="207">
        <v>876.8</v>
      </c>
      <c r="J163" s="207">
        <v>1261.89</v>
      </c>
      <c r="K163" s="207">
        <v>1490.69</v>
      </c>
      <c r="L163" s="207">
        <v>1382.93</v>
      </c>
      <c r="M163" s="207">
        <v>578.03</v>
      </c>
      <c r="N163" s="207">
        <v>1525.39</v>
      </c>
      <c r="O163" s="207">
        <v>2102.46</v>
      </c>
      <c r="P163" s="288">
        <v>1431.81</v>
      </c>
      <c r="Q163" s="106">
        <f aca="true" t="shared" si="52" ref="Q163:Q173">SUM(D163:P163)</f>
        <v>16831.890000000003</v>
      </c>
    </row>
    <row r="164" spans="1:17" s="3" customFormat="1" ht="13.5" customHeight="1">
      <c r="A164" s="391"/>
      <c r="B164" s="471"/>
      <c r="C164" s="128" t="s">
        <v>1</v>
      </c>
      <c r="D164" s="155">
        <v>8254.78</v>
      </c>
      <c r="E164" s="155">
        <v>8195.92</v>
      </c>
      <c r="F164" s="155">
        <v>8208.16</v>
      </c>
      <c r="G164" s="155">
        <v>8292.46</v>
      </c>
      <c r="H164" s="155">
        <v>7804.75</v>
      </c>
      <c r="I164" s="155">
        <v>8315.56</v>
      </c>
      <c r="J164" s="155">
        <v>8151.85</v>
      </c>
      <c r="K164" s="155">
        <v>12651.48</v>
      </c>
      <c r="L164" s="155">
        <v>9453.41</v>
      </c>
      <c r="M164" s="155">
        <v>6419.73</v>
      </c>
      <c r="N164" s="155">
        <v>9624.2</v>
      </c>
      <c r="O164" s="155">
        <v>9496.22</v>
      </c>
      <c r="P164" s="286">
        <v>6561.17</v>
      </c>
      <c r="Q164" s="86">
        <f t="shared" si="52"/>
        <v>111429.68999999999</v>
      </c>
    </row>
    <row r="165" spans="1:17" s="3" customFormat="1" ht="13.5" customHeight="1">
      <c r="A165" s="391"/>
      <c r="B165" s="471"/>
      <c r="C165" s="128" t="s">
        <v>2</v>
      </c>
      <c r="D165" s="155">
        <v>8323.05</v>
      </c>
      <c r="E165" s="155">
        <v>8126.29</v>
      </c>
      <c r="F165" s="155">
        <v>8086.11</v>
      </c>
      <c r="G165" s="155">
        <v>8242.11</v>
      </c>
      <c r="H165" s="155">
        <v>8592.96</v>
      </c>
      <c r="I165" s="155">
        <v>8516.69</v>
      </c>
      <c r="J165" s="155">
        <v>8215.11</v>
      </c>
      <c r="K165" s="155">
        <v>13080.91</v>
      </c>
      <c r="L165" s="155">
        <v>9383.4</v>
      </c>
      <c r="M165" s="155">
        <v>6468.86</v>
      </c>
      <c r="N165" s="155">
        <v>9622.96</v>
      </c>
      <c r="O165" s="155">
        <v>9635.17</v>
      </c>
      <c r="P165" s="286">
        <v>6542.29</v>
      </c>
      <c r="Q165" s="86">
        <f t="shared" si="52"/>
        <v>112835.90999999997</v>
      </c>
    </row>
    <row r="166" spans="1:17" s="3" customFormat="1" ht="13.5" customHeight="1">
      <c r="A166" s="391"/>
      <c r="B166" s="471"/>
      <c r="C166" s="128" t="s">
        <v>4</v>
      </c>
      <c r="D166" s="155">
        <f>+D164</f>
        <v>8254.78</v>
      </c>
      <c r="E166" s="155">
        <f aca="true" t="shared" si="53" ref="E166:P166">+E164</f>
        <v>8195.92</v>
      </c>
      <c r="F166" s="155">
        <f t="shared" si="53"/>
        <v>8208.16</v>
      </c>
      <c r="G166" s="155">
        <f t="shared" si="53"/>
        <v>8292.46</v>
      </c>
      <c r="H166" s="155">
        <f t="shared" si="53"/>
        <v>7804.75</v>
      </c>
      <c r="I166" s="155">
        <f t="shared" si="53"/>
        <v>8315.56</v>
      </c>
      <c r="J166" s="155">
        <f t="shared" si="53"/>
        <v>8151.85</v>
      </c>
      <c r="K166" s="155">
        <f t="shared" si="53"/>
        <v>12651.48</v>
      </c>
      <c r="L166" s="155">
        <f t="shared" si="53"/>
        <v>9453.41</v>
      </c>
      <c r="M166" s="155">
        <f t="shared" si="53"/>
        <v>6419.73</v>
      </c>
      <c r="N166" s="155">
        <f t="shared" si="53"/>
        <v>9624.2</v>
      </c>
      <c r="O166" s="155">
        <f t="shared" si="53"/>
        <v>9496.22</v>
      </c>
      <c r="P166" s="286">
        <f t="shared" si="53"/>
        <v>6561.17</v>
      </c>
      <c r="Q166" s="86">
        <f t="shared" si="52"/>
        <v>111429.68999999999</v>
      </c>
    </row>
    <row r="167" spans="1:17" s="3" customFormat="1" ht="13.5" customHeight="1">
      <c r="A167" s="391"/>
      <c r="B167" s="471"/>
      <c r="C167" s="128" t="s">
        <v>3</v>
      </c>
      <c r="D167" s="202">
        <f>+D165</f>
        <v>8323.05</v>
      </c>
      <c r="E167" s="202">
        <f aca="true" t="shared" si="54" ref="E167:L167">+E165</f>
        <v>8126.29</v>
      </c>
      <c r="F167" s="202">
        <f t="shared" si="54"/>
        <v>8086.11</v>
      </c>
      <c r="G167" s="202">
        <f t="shared" si="54"/>
        <v>8242.11</v>
      </c>
      <c r="H167" s="202">
        <f t="shared" si="54"/>
        <v>8592.96</v>
      </c>
      <c r="I167" s="202">
        <f t="shared" si="54"/>
        <v>8516.69</v>
      </c>
      <c r="J167" s="202">
        <f>J166+J163</f>
        <v>9413.74</v>
      </c>
      <c r="K167" s="202">
        <f>K166+K163</f>
        <v>14142.17</v>
      </c>
      <c r="L167" s="202">
        <f t="shared" si="54"/>
        <v>9383.4</v>
      </c>
      <c r="M167" s="202">
        <f>M166+M163</f>
        <v>6997.759999999999</v>
      </c>
      <c r="N167" s="202">
        <f>N166+N163</f>
        <v>11149.59</v>
      </c>
      <c r="O167" s="202">
        <f>O166+O163</f>
        <v>11598.68</v>
      </c>
      <c r="P167" s="202">
        <f>P165</f>
        <v>6542.29</v>
      </c>
      <c r="Q167" s="86">
        <f t="shared" si="52"/>
        <v>119114.83999999998</v>
      </c>
    </row>
    <row r="168" spans="1:17" s="3" customFormat="1" ht="13.5" customHeight="1" thickBot="1">
      <c r="A168" s="391"/>
      <c r="B168" s="472"/>
      <c r="C168" s="140" t="s">
        <v>199</v>
      </c>
      <c r="D168" s="70">
        <f>D163+D164-D165</f>
        <v>748.5200000000004</v>
      </c>
      <c r="E168" s="70">
        <f>E163+E164-E165</f>
        <v>1544.0700000000006</v>
      </c>
      <c r="F168" s="70">
        <f>F163+F164-F165</f>
        <v>1865.9199999999992</v>
      </c>
      <c r="G168" s="70">
        <f>G163+G164-G165</f>
        <v>733.2099999999991</v>
      </c>
      <c r="H168" s="70">
        <f aca="true" t="shared" si="55" ref="H168:P168">H163+H164-H165</f>
        <v>675.7200000000012</v>
      </c>
      <c r="I168" s="70">
        <f t="shared" si="55"/>
        <v>675.6699999999983</v>
      </c>
      <c r="J168" s="70">
        <f t="shared" si="55"/>
        <v>1198.6299999999992</v>
      </c>
      <c r="K168" s="70">
        <f t="shared" si="55"/>
        <v>1061.2600000000002</v>
      </c>
      <c r="L168" s="70">
        <f t="shared" si="55"/>
        <v>1452.9400000000005</v>
      </c>
      <c r="M168" s="70">
        <f t="shared" si="55"/>
        <v>528.8999999999996</v>
      </c>
      <c r="N168" s="70">
        <f t="shared" si="55"/>
        <v>1526.630000000001</v>
      </c>
      <c r="O168" s="70">
        <f t="shared" si="55"/>
        <v>1963.5100000000002</v>
      </c>
      <c r="P168" s="180">
        <f t="shared" si="55"/>
        <v>1450.6899999999996</v>
      </c>
      <c r="Q168" s="75">
        <f t="shared" si="52"/>
        <v>15425.669999999998</v>
      </c>
    </row>
    <row r="169" spans="1:17" s="24" customFormat="1" ht="13.5" customHeight="1">
      <c r="A169" s="391" t="s">
        <v>140</v>
      </c>
      <c r="B169" s="470" t="s">
        <v>21</v>
      </c>
      <c r="C169" s="136" t="s">
        <v>175</v>
      </c>
      <c r="D169" s="168">
        <v>9362.38</v>
      </c>
      <c r="E169" s="168">
        <v>21603.54</v>
      </c>
      <c r="F169" s="168">
        <v>27856.41</v>
      </c>
      <c r="G169" s="168">
        <v>7829.17</v>
      </c>
      <c r="H169" s="168">
        <v>22509.44</v>
      </c>
      <c r="I169" s="168">
        <v>10289.26</v>
      </c>
      <c r="J169" s="168">
        <v>19092.57</v>
      </c>
      <c r="K169" s="168">
        <v>17618.33</v>
      </c>
      <c r="L169" s="168">
        <v>16714.46</v>
      </c>
      <c r="M169" s="168">
        <v>6656.02</v>
      </c>
      <c r="N169" s="168">
        <v>17043.35</v>
      </c>
      <c r="O169" s="168">
        <v>23239.92</v>
      </c>
      <c r="P169" s="285">
        <v>15046.41</v>
      </c>
      <c r="Q169" s="106">
        <f t="shared" si="52"/>
        <v>214861.25999999998</v>
      </c>
    </row>
    <row r="170" spans="1:17" s="24" customFormat="1" ht="12.75">
      <c r="A170" s="391"/>
      <c r="B170" s="471"/>
      <c r="C170" s="128" t="s">
        <v>1</v>
      </c>
      <c r="D170" s="155">
        <v>95971.64</v>
      </c>
      <c r="E170" s="155">
        <v>95277.11</v>
      </c>
      <c r="F170" s="155">
        <v>95425.03</v>
      </c>
      <c r="G170" s="155">
        <v>96395.82</v>
      </c>
      <c r="H170" s="155">
        <v>85566.17</v>
      </c>
      <c r="I170" s="155">
        <v>96676.03</v>
      </c>
      <c r="J170" s="155">
        <v>94754.02</v>
      </c>
      <c r="K170" s="155">
        <v>148648.5</v>
      </c>
      <c r="L170" s="155">
        <v>111073.73</v>
      </c>
      <c r="M170" s="155">
        <v>74632.43</v>
      </c>
      <c r="N170" s="155">
        <v>111887.61</v>
      </c>
      <c r="O170" s="155">
        <v>110401.09</v>
      </c>
      <c r="P170" s="286">
        <v>76380.19</v>
      </c>
      <c r="Q170" s="86">
        <f t="shared" si="52"/>
        <v>1293089.37</v>
      </c>
    </row>
    <row r="171" spans="1:17" s="24" customFormat="1" ht="12.75">
      <c r="A171" s="391"/>
      <c r="B171" s="471"/>
      <c r="C171" s="128" t="s">
        <v>2</v>
      </c>
      <c r="D171" s="155">
        <v>96711.15</v>
      </c>
      <c r="E171" s="155">
        <v>93394.86</v>
      </c>
      <c r="F171" s="155">
        <v>94289.52</v>
      </c>
      <c r="G171" s="155">
        <v>95714.47</v>
      </c>
      <c r="H171" s="155">
        <v>100555.79</v>
      </c>
      <c r="I171" s="155">
        <v>98897.89</v>
      </c>
      <c r="J171" s="155">
        <v>95447.01</v>
      </c>
      <c r="K171" s="155">
        <v>153744.96</v>
      </c>
      <c r="L171" s="155">
        <v>110200.88</v>
      </c>
      <c r="M171" s="155">
        <v>75142.22</v>
      </c>
      <c r="N171" s="155">
        <v>111791</v>
      </c>
      <c r="O171" s="155">
        <v>111728.9</v>
      </c>
      <c r="P171" s="286">
        <v>75609.4</v>
      </c>
      <c r="Q171" s="86">
        <f t="shared" si="52"/>
        <v>1313228.0499999998</v>
      </c>
    </row>
    <row r="172" spans="1:17" s="24" customFormat="1" ht="12.75">
      <c r="A172" s="391"/>
      <c r="B172" s="471"/>
      <c r="C172" s="128" t="s">
        <v>4</v>
      </c>
      <c r="D172" s="209">
        <v>69547.62</v>
      </c>
      <c r="E172" s="209">
        <v>69028.56</v>
      </c>
      <c r="F172" s="209">
        <v>92361.61</v>
      </c>
      <c r="G172" s="209">
        <v>80387.75</v>
      </c>
      <c r="H172" s="209">
        <v>82872.85</v>
      </c>
      <c r="I172" s="209">
        <v>70284.3</v>
      </c>
      <c r="J172" s="209">
        <v>76417.76</v>
      </c>
      <c r="K172" s="209">
        <v>206846.22</v>
      </c>
      <c r="L172" s="209">
        <v>86549.16</v>
      </c>
      <c r="M172" s="209">
        <v>77301.69</v>
      </c>
      <c r="N172" s="209">
        <v>80047.91</v>
      </c>
      <c r="O172" s="209">
        <v>87330</v>
      </c>
      <c r="P172" s="298">
        <v>81307.6</v>
      </c>
      <c r="Q172" s="208">
        <f t="shared" si="52"/>
        <v>1160283.0300000003</v>
      </c>
    </row>
    <row r="173" spans="1:17" s="24" customFormat="1" ht="12.75">
      <c r="A173" s="391"/>
      <c r="B173" s="471"/>
      <c r="C173" s="128" t="s">
        <v>3</v>
      </c>
      <c r="D173" s="202">
        <f>D172+D169</f>
        <v>78910</v>
      </c>
      <c r="E173" s="202">
        <f>E172+E169</f>
        <v>90632.1</v>
      </c>
      <c r="F173" s="202">
        <f>+F171</f>
        <v>94289.52</v>
      </c>
      <c r="G173" s="202">
        <f>G172+G169</f>
        <v>88216.92</v>
      </c>
      <c r="H173" s="202">
        <f>+H171</f>
        <v>100555.79</v>
      </c>
      <c r="I173" s="202">
        <f aca="true" t="shared" si="56" ref="I173:P173">I172+I169</f>
        <v>80573.56</v>
      </c>
      <c r="J173" s="202">
        <f t="shared" si="56"/>
        <v>95510.32999999999</v>
      </c>
      <c r="K173" s="202">
        <f t="shared" si="56"/>
        <v>224464.55</v>
      </c>
      <c r="L173" s="202">
        <f t="shared" si="56"/>
        <v>103263.62</v>
      </c>
      <c r="M173" s="202">
        <f t="shared" si="56"/>
        <v>83957.71</v>
      </c>
      <c r="N173" s="202">
        <f t="shared" si="56"/>
        <v>97091.26000000001</v>
      </c>
      <c r="O173" s="202">
        <f t="shared" si="56"/>
        <v>110569.92</v>
      </c>
      <c r="P173" s="202">
        <f t="shared" si="56"/>
        <v>96354.01000000001</v>
      </c>
      <c r="Q173" s="86">
        <f t="shared" si="52"/>
        <v>1344389.2899999998</v>
      </c>
    </row>
    <row r="174" spans="1:17" s="3" customFormat="1" ht="13.5" thickBot="1">
      <c r="A174" s="391"/>
      <c r="B174" s="472"/>
      <c r="C174" s="140" t="s">
        <v>199</v>
      </c>
      <c r="D174" s="70">
        <f aca="true" t="shared" si="57" ref="D174:P174">D169+D170-D171</f>
        <v>8622.87000000001</v>
      </c>
      <c r="E174" s="70">
        <f t="shared" si="57"/>
        <v>23485.789999999994</v>
      </c>
      <c r="F174" s="70">
        <f t="shared" si="57"/>
        <v>28991.92</v>
      </c>
      <c r="G174" s="70">
        <f>G169+G170-G171</f>
        <v>8510.520000000004</v>
      </c>
      <c r="H174" s="70">
        <f t="shared" si="57"/>
        <v>7519.820000000007</v>
      </c>
      <c r="I174" s="70">
        <f t="shared" si="57"/>
        <v>8067.399999999994</v>
      </c>
      <c r="J174" s="70">
        <f t="shared" si="57"/>
        <v>18399.58</v>
      </c>
      <c r="K174" s="70">
        <f>K169+K170-K171</f>
        <v>12521.870000000024</v>
      </c>
      <c r="L174" s="70">
        <f t="shared" si="57"/>
        <v>17587.309999999998</v>
      </c>
      <c r="M174" s="70">
        <f t="shared" si="57"/>
        <v>6146.229999999996</v>
      </c>
      <c r="N174" s="70">
        <f t="shared" si="57"/>
        <v>17139.959999999992</v>
      </c>
      <c r="O174" s="70">
        <f t="shared" si="57"/>
        <v>21912.110000000015</v>
      </c>
      <c r="P174" s="180">
        <f t="shared" si="57"/>
        <v>15817.200000000012</v>
      </c>
      <c r="Q174" s="75">
        <f t="shared" si="38"/>
        <v>194722.58000000002</v>
      </c>
    </row>
    <row r="175" spans="1:17" s="3" customFormat="1" ht="13.5" customHeight="1">
      <c r="A175" s="391"/>
      <c r="B175" s="470" t="s">
        <v>149</v>
      </c>
      <c r="C175" s="136" t="s">
        <v>175</v>
      </c>
      <c r="D175" s="168">
        <v>1309.98</v>
      </c>
      <c r="E175" s="168">
        <v>2246.53</v>
      </c>
      <c r="F175" s="168">
        <v>2649.9</v>
      </c>
      <c r="G175" s="168">
        <v>1100.48</v>
      </c>
      <c r="H175" s="168">
        <v>2300.87</v>
      </c>
      <c r="I175" s="168">
        <v>1444.31</v>
      </c>
      <c r="J175" s="168">
        <v>1980.51</v>
      </c>
      <c r="K175" s="168">
        <v>2436.24</v>
      </c>
      <c r="L175" s="168">
        <v>2320.14</v>
      </c>
      <c r="M175" s="168">
        <v>934.32</v>
      </c>
      <c r="N175" s="168">
        <v>2392.23</v>
      </c>
      <c r="O175" s="168">
        <v>3172.68</v>
      </c>
      <c r="P175" s="285">
        <v>2080.84</v>
      </c>
      <c r="Q175" s="106">
        <f aca="true" t="shared" si="58" ref="Q175:Q186">SUM(D175:P175)</f>
        <v>26369.03</v>
      </c>
    </row>
    <row r="176" spans="1:17" s="3" customFormat="1" ht="12.75">
      <c r="A176" s="391"/>
      <c r="B176" s="471"/>
      <c r="C176" s="128" t="s">
        <v>1</v>
      </c>
      <c r="D176" s="155">
        <v>13414.69</v>
      </c>
      <c r="E176" s="155">
        <v>13318.36</v>
      </c>
      <c r="F176" s="155">
        <v>13338.58</v>
      </c>
      <c r="G176" s="155">
        <v>13475.01</v>
      </c>
      <c r="H176" s="155">
        <v>12749.04</v>
      </c>
      <c r="I176" s="155">
        <v>13513.2</v>
      </c>
      <c r="J176" s="155">
        <v>13246.08</v>
      </c>
      <c r="K176" s="155">
        <v>20558.38</v>
      </c>
      <c r="L176" s="155">
        <v>15361.61</v>
      </c>
      <c r="M176" s="155">
        <v>10432.24</v>
      </c>
      <c r="N176" s="155">
        <v>15639.66</v>
      </c>
      <c r="O176" s="155">
        <v>15432.04</v>
      </c>
      <c r="P176" s="286">
        <v>10676.47</v>
      </c>
      <c r="Q176" s="86">
        <f t="shared" si="58"/>
        <v>181155.36000000002</v>
      </c>
    </row>
    <row r="177" spans="1:17" s="3" customFormat="1" ht="12.75">
      <c r="A177" s="391"/>
      <c r="B177" s="471"/>
      <c r="C177" s="128" t="s">
        <v>2</v>
      </c>
      <c r="D177" s="155">
        <v>13518.86</v>
      </c>
      <c r="E177" s="155">
        <v>13186.28</v>
      </c>
      <c r="F177" s="155">
        <v>13130.01</v>
      </c>
      <c r="G177" s="155">
        <v>13385.14</v>
      </c>
      <c r="H177" s="155">
        <v>13947.52</v>
      </c>
      <c r="I177" s="155">
        <v>13828.96</v>
      </c>
      <c r="J177" s="155">
        <v>13348.64</v>
      </c>
      <c r="K177" s="155">
        <v>21264.5</v>
      </c>
      <c r="L177" s="155">
        <v>15249</v>
      </c>
      <c r="M177" s="155">
        <v>10507.41</v>
      </c>
      <c r="N177" s="155">
        <v>15633</v>
      </c>
      <c r="O177" s="155">
        <v>15608.53</v>
      </c>
      <c r="P177" s="286">
        <v>10565.91</v>
      </c>
      <c r="Q177" s="86">
        <f t="shared" si="58"/>
        <v>183173.75999999998</v>
      </c>
    </row>
    <row r="178" spans="1:17" s="3" customFormat="1" ht="12.75">
      <c r="A178" s="391"/>
      <c r="B178" s="471"/>
      <c r="C178" s="128" t="s">
        <v>4</v>
      </c>
      <c r="D178" s="155">
        <f>+D176</f>
        <v>13414.69</v>
      </c>
      <c r="E178" s="155">
        <f aca="true" t="shared" si="59" ref="E178:P178">+E176</f>
        <v>13318.36</v>
      </c>
      <c r="F178" s="155">
        <f t="shared" si="59"/>
        <v>13338.58</v>
      </c>
      <c r="G178" s="155">
        <f t="shared" si="59"/>
        <v>13475.01</v>
      </c>
      <c r="H178" s="155">
        <f t="shared" si="59"/>
        <v>12749.04</v>
      </c>
      <c r="I178" s="155">
        <f t="shared" si="59"/>
        <v>13513.2</v>
      </c>
      <c r="J178" s="155">
        <f t="shared" si="59"/>
        <v>13246.08</v>
      </c>
      <c r="K178" s="155">
        <f t="shared" si="59"/>
        <v>20558.38</v>
      </c>
      <c r="L178" s="155">
        <f t="shared" si="59"/>
        <v>15361.61</v>
      </c>
      <c r="M178" s="155">
        <f t="shared" si="59"/>
        <v>10432.24</v>
      </c>
      <c r="N178" s="155">
        <f t="shared" si="59"/>
        <v>15639.66</v>
      </c>
      <c r="O178" s="155">
        <f t="shared" si="59"/>
        <v>15432.04</v>
      </c>
      <c r="P178" s="155">
        <f t="shared" si="59"/>
        <v>10676.47</v>
      </c>
      <c r="Q178" s="86">
        <f t="shared" si="58"/>
        <v>181155.36000000002</v>
      </c>
    </row>
    <row r="179" spans="1:17" s="3" customFormat="1" ht="12.75">
      <c r="A179" s="391"/>
      <c r="B179" s="471"/>
      <c r="C179" s="128" t="s">
        <v>3</v>
      </c>
      <c r="D179" s="202">
        <f>D178+D175</f>
        <v>14724.67</v>
      </c>
      <c r="E179" s="202">
        <f>E177</f>
        <v>13186.28</v>
      </c>
      <c r="F179" s="202">
        <f>F177</f>
        <v>13130.01</v>
      </c>
      <c r="G179" s="202">
        <f>G178+G175</f>
        <v>14575.49</v>
      </c>
      <c r="H179" s="202">
        <f>H177</f>
        <v>13947.52</v>
      </c>
      <c r="I179" s="202">
        <f>I178+I175</f>
        <v>14957.51</v>
      </c>
      <c r="J179" s="202">
        <f>J178+J175</f>
        <v>15226.59</v>
      </c>
      <c r="K179" s="202">
        <f>K178+K175</f>
        <v>22994.620000000003</v>
      </c>
      <c r="L179" s="202">
        <f>L177</f>
        <v>15249</v>
      </c>
      <c r="M179" s="202">
        <f>M178+M175</f>
        <v>11366.56</v>
      </c>
      <c r="N179" s="202">
        <f>N178+N175</f>
        <v>18031.89</v>
      </c>
      <c r="O179" s="202">
        <f>O178+O175</f>
        <v>18604.72</v>
      </c>
      <c r="P179" s="202">
        <f>P177</f>
        <v>10565.91</v>
      </c>
      <c r="Q179" s="86">
        <f t="shared" si="58"/>
        <v>196560.77000000002</v>
      </c>
    </row>
    <row r="180" spans="1:17" s="3" customFormat="1" ht="13.5" thickBot="1">
      <c r="A180" s="391"/>
      <c r="B180" s="472"/>
      <c r="C180" s="140" t="s">
        <v>199</v>
      </c>
      <c r="D180" s="70">
        <f>D175+D176-D177</f>
        <v>1205.8099999999995</v>
      </c>
      <c r="E180" s="70">
        <f>E175+E176-E177</f>
        <v>2378.6100000000006</v>
      </c>
      <c r="F180" s="70">
        <f>F175+F176-F177</f>
        <v>2858.4699999999993</v>
      </c>
      <c r="G180" s="70">
        <f>G175+G176-G177</f>
        <v>1190.3500000000004</v>
      </c>
      <c r="H180" s="70">
        <f aca="true" t="shared" si="60" ref="H180:P180">H175+H176-H177</f>
        <v>1102.3899999999994</v>
      </c>
      <c r="I180" s="70">
        <f t="shared" si="60"/>
        <v>1128.550000000001</v>
      </c>
      <c r="J180" s="70">
        <f t="shared" si="60"/>
        <v>1877.9500000000007</v>
      </c>
      <c r="K180" s="70">
        <f t="shared" si="60"/>
        <v>1730.1200000000026</v>
      </c>
      <c r="L180" s="70">
        <f t="shared" si="60"/>
        <v>2432.75</v>
      </c>
      <c r="M180" s="70">
        <f t="shared" si="60"/>
        <v>859.1499999999996</v>
      </c>
      <c r="N180" s="70">
        <f t="shared" si="60"/>
        <v>2398.8899999999994</v>
      </c>
      <c r="O180" s="70">
        <f t="shared" si="60"/>
        <v>2996.1900000000005</v>
      </c>
      <c r="P180" s="180">
        <f t="shared" si="60"/>
        <v>2191.3999999999996</v>
      </c>
      <c r="Q180" s="75">
        <f aca="true" t="shared" si="61" ref="Q180:Q185">SUM(D180:P180)</f>
        <v>24350.630000000005</v>
      </c>
    </row>
    <row r="181" spans="1:17" s="24" customFormat="1" ht="12.75" customHeight="1">
      <c r="A181" s="391" t="s">
        <v>154</v>
      </c>
      <c r="B181" s="470" t="s">
        <v>41</v>
      </c>
      <c r="C181" s="136" t="s">
        <v>175</v>
      </c>
      <c r="D181" s="168">
        <v>61589.91</v>
      </c>
      <c r="E181" s="168">
        <v>121885.84</v>
      </c>
      <c r="F181" s="168">
        <v>114433.54</v>
      </c>
      <c r="G181" s="168">
        <f>-53.51+33111.96-2001.92</f>
        <v>31056.53</v>
      </c>
      <c r="H181" s="168">
        <f>115770.89-516.77</f>
        <v>115254.12</v>
      </c>
      <c r="I181" s="168">
        <v>90240.49</v>
      </c>
      <c r="J181" s="168">
        <v>86987.17</v>
      </c>
      <c r="K181" s="168">
        <v>107910.87</v>
      </c>
      <c r="L181" s="168">
        <v>123134.4</v>
      </c>
      <c r="M181" s="168">
        <v>43853.27</v>
      </c>
      <c r="N181" s="206">
        <v>142478.65</v>
      </c>
      <c r="O181" s="206">
        <f>122602.37-630.27</f>
        <v>121972.09999999999</v>
      </c>
      <c r="P181" s="301">
        <f>87435.53+0.02</f>
        <v>87435.55</v>
      </c>
      <c r="Q181" s="106">
        <f t="shared" si="61"/>
        <v>1248232.4400000002</v>
      </c>
    </row>
    <row r="182" spans="1:17" s="24" customFormat="1" ht="12.75">
      <c r="A182" s="391"/>
      <c r="B182" s="471"/>
      <c r="C182" s="128" t="s">
        <v>1</v>
      </c>
      <c r="D182" s="155">
        <v>504116.76</v>
      </c>
      <c r="E182" s="155">
        <v>638625</v>
      </c>
      <c r="F182" s="155">
        <v>526284.99</v>
      </c>
      <c r="G182" s="155">
        <f>53.51+571217.82+2001.92</f>
        <v>573273.25</v>
      </c>
      <c r="H182" s="155">
        <f>531244.78+516.77</f>
        <v>531761.55</v>
      </c>
      <c r="I182" s="155">
        <v>501770.56</v>
      </c>
      <c r="J182" s="155">
        <v>445440.83</v>
      </c>
      <c r="K182" s="155">
        <v>942517.95</v>
      </c>
      <c r="L182" s="155">
        <v>776483.86</v>
      </c>
      <c r="M182" s="155">
        <v>375783.82</v>
      </c>
      <c r="N182" s="203">
        <v>679036.51</v>
      </c>
      <c r="O182" s="203">
        <v>630767</v>
      </c>
      <c r="P182" s="302">
        <f>-0.02+444756.06</f>
        <v>444756.04</v>
      </c>
      <c r="Q182" s="86">
        <f t="shared" si="61"/>
        <v>7570618.12</v>
      </c>
    </row>
    <row r="183" spans="1:17" s="24" customFormat="1" ht="12.75">
      <c r="A183" s="391"/>
      <c r="B183" s="471"/>
      <c r="C183" s="128" t="s">
        <v>2</v>
      </c>
      <c r="D183" s="155">
        <v>512325.03</v>
      </c>
      <c r="E183" s="155">
        <v>589452.29</v>
      </c>
      <c r="F183" s="155">
        <v>507052.21</v>
      </c>
      <c r="G183" s="155">
        <v>554474.33</v>
      </c>
      <c r="H183" s="155">
        <v>593998.68</v>
      </c>
      <c r="I183" s="155">
        <v>525408.19</v>
      </c>
      <c r="J183" s="155">
        <v>462346.82</v>
      </c>
      <c r="K183" s="155">
        <v>982315.06</v>
      </c>
      <c r="L183" s="155">
        <v>756359.07</v>
      </c>
      <c r="M183" s="155">
        <v>375125.13</v>
      </c>
      <c r="N183" s="203">
        <v>690107.91</v>
      </c>
      <c r="O183" s="203">
        <v>635670.22</v>
      </c>
      <c r="P183" s="302">
        <v>442356.34</v>
      </c>
      <c r="Q183" s="86">
        <f t="shared" si="61"/>
        <v>7626991.279999999</v>
      </c>
    </row>
    <row r="184" spans="1:17" s="24" customFormat="1" ht="12.75">
      <c r="A184" s="391"/>
      <c r="B184" s="471"/>
      <c r="C184" s="128" t="s">
        <v>4</v>
      </c>
      <c r="D184" s="155">
        <f>+D182</f>
        <v>504116.76</v>
      </c>
      <c r="E184" s="155">
        <f aca="true" t="shared" si="62" ref="E184:P184">+E182</f>
        <v>638625</v>
      </c>
      <c r="F184" s="155">
        <f t="shared" si="62"/>
        <v>526284.99</v>
      </c>
      <c r="G184" s="155">
        <f t="shared" si="62"/>
        <v>573273.25</v>
      </c>
      <c r="H184" s="155">
        <f t="shared" si="62"/>
        <v>531761.55</v>
      </c>
      <c r="I184" s="155">
        <f t="shared" si="62"/>
        <v>501770.56</v>
      </c>
      <c r="J184" s="155">
        <f t="shared" si="62"/>
        <v>445440.83</v>
      </c>
      <c r="K184" s="155">
        <f t="shared" si="62"/>
        <v>942517.95</v>
      </c>
      <c r="L184" s="155">
        <f t="shared" si="62"/>
        <v>776483.86</v>
      </c>
      <c r="M184" s="155">
        <f t="shared" si="62"/>
        <v>375783.82</v>
      </c>
      <c r="N184" s="155">
        <f t="shared" si="62"/>
        <v>679036.51</v>
      </c>
      <c r="O184" s="155">
        <f t="shared" si="62"/>
        <v>630767</v>
      </c>
      <c r="P184" s="286">
        <f t="shared" si="62"/>
        <v>444756.04</v>
      </c>
      <c r="Q184" s="86">
        <f t="shared" si="61"/>
        <v>7570618.12</v>
      </c>
    </row>
    <row r="185" spans="1:17" s="24" customFormat="1" ht="12.75">
      <c r="A185" s="391"/>
      <c r="B185" s="471"/>
      <c r="C185" s="128" t="s">
        <v>3</v>
      </c>
      <c r="D185" s="202">
        <f>D184+D181</f>
        <v>565706.67</v>
      </c>
      <c r="E185" s="202">
        <f>+E183</f>
        <v>589452.29</v>
      </c>
      <c r="F185" s="202">
        <f>+F183</f>
        <v>507052.21</v>
      </c>
      <c r="G185" s="202">
        <f>G184+G181</f>
        <v>604329.78</v>
      </c>
      <c r="H185" s="202">
        <f>+H183</f>
        <v>593998.68</v>
      </c>
      <c r="I185" s="202">
        <f>I184+I181</f>
        <v>592011.05</v>
      </c>
      <c r="J185" s="202">
        <f>J184+J181</f>
        <v>532428</v>
      </c>
      <c r="K185" s="202">
        <f>K184+K181</f>
        <v>1050428.8199999998</v>
      </c>
      <c r="L185" s="202">
        <f>+L183</f>
        <v>756359.07</v>
      </c>
      <c r="M185" s="202">
        <f>M184+M181</f>
        <v>419637.09</v>
      </c>
      <c r="N185" s="202">
        <f>N184+N181</f>
        <v>821515.16</v>
      </c>
      <c r="O185" s="202">
        <f>O184+O181</f>
        <v>752739.1</v>
      </c>
      <c r="P185" s="202">
        <v>473643.2</v>
      </c>
      <c r="Q185" s="86">
        <f t="shared" si="61"/>
        <v>8259301.12</v>
      </c>
    </row>
    <row r="186" spans="1:17" s="3" customFormat="1" ht="13.5" thickBot="1">
      <c r="A186" s="392"/>
      <c r="B186" s="472"/>
      <c r="C186" s="140" t="s">
        <v>199</v>
      </c>
      <c r="D186" s="70">
        <f aca="true" t="shared" si="63" ref="D186:P186">D181+D182-D183</f>
        <v>53381.640000000014</v>
      </c>
      <c r="E186" s="70">
        <f t="shared" si="63"/>
        <v>171058.54999999993</v>
      </c>
      <c r="F186" s="70">
        <f>+F181+F182-F183</f>
        <v>133666.32</v>
      </c>
      <c r="G186" s="70">
        <f>G181+G182-G183</f>
        <v>49855.45000000007</v>
      </c>
      <c r="H186" s="70">
        <f t="shared" si="63"/>
        <v>53016.98999999999</v>
      </c>
      <c r="I186" s="70">
        <f t="shared" si="63"/>
        <v>66602.8600000001</v>
      </c>
      <c r="J186" s="70">
        <f t="shared" si="63"/>
        <v>70081.18</v>
      </c>
      <c r="K186" s="70">
        <f t="shared" si="63"/>
        <v>68113.75999999978</v>
      </c>
      <c r="L186" s="70">
        <f t="shared" si="63"/>
        <v>143259.19000000006</v>
      </c>
      <c r="M186" s="70">
        <f t="shared" si="63"/>
        <v>44511.96000000002</v>
      </c>
      <c r="N186" s="70">
        <f t="shared" si="63"/>
        <v>131407.25</v>
      </c>
      <c r="O186" s="70">
        <f t="shared" si="63"/>
        <v>117068.88</v>
      </c>
      <c r="P186" s="70">
        <f t="shared" si="63"/>
        <v>89835.24999999994</v>
      </c>
      <c r="Q186" s="75">
        <f t="shared" si="58"/>
        <v>1191859.2799999998</v>
      </c>
    </row>
    <row r="187" spans="1:17" s="24" customFormat="1" ht="12.75">
      <c r="A187" s="393" t="s">
        <v>189</v>
      </c>
      <c r="B187" s="393"/>
      <c r="C187" s="376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294"/>
      <c r="Q187" s="121"/>
    </row>
    <row r="188" spans="1:17" s="24" customFormat="1" ht="12.75">
      <c r="A188" s="377"/>
      <c r="B188" s="377"/>
      <c r="C188" s="131" t="s">
        <v>175</v>
      </c>
      <c r="D188" s="116">
        <f>D97+D103+D109+D151+D157+D163+D169+D175+D181</f>
        <v>164974.43</v>
      </c>
      <c r="E188" s="116">
        <f aca="true" t="shared" si="64" ref="E188:Q188">E97+E103+E109+E151+E157+E163+E169+E175+E181</f>
        <v>344315.63</v>
      </c>
      <c r="F188" s="116">
        <f t="shared" si="64"/>
        <v>369924.13</v>
      </c>
      <c r="G188" s="116">
        <f t="shared" si="64"/>
        <v>116253.65999999999</v>
      </c>
      <c r="H188" s="116">
        <f t="shared" si="64"/>
        <v>335218.56999999995</v>
      </c>
      <c r="I188" s="116">
        <f t="shared" si="64"/>
        <v>204138.34</v>
      </c>
      <c r="J188" s="116">
        <f t="shared" si="64"/>
        <v>276404.80000000005</v>
      </c>
      <c r="K188" s="116">
        <f t="shared" si="64"/>
        <v>299849.00999999995</v>
      </c>
      <c r="L188" s="116">
        <f t="shared" si="64"/>
        <v>301551.92000000004</v>
      </c>
      <c r="M188" s="116">
        <f t="shared" si="64"/>
        <v>117770.98000000001</v>
      </c>
      <c r="N188" s="116">
        <f t="shared" si="64"/>
        <v>331254.16000000003</v>
      </c>
      <c r="O188" s="116">
        <f t="shared" si="64"/>
        <v>360681.29</v>
      </c>
      <c r="P188" s="295">
        <f t="shared" si="64"/>
        <v>247400.37</v>
      </c>
      <c r="Q188" s="122">
        <f t="shared" si="64"/>
        <v>3469737.29</v>
      </c>
    </row>
    <row r="189" spans="1:17" s="24" customFormat="1" ht="12.75">
      <c r="A189" s="377"/>
      <c r="B189" s="377"/>
      <c r="C189" s="132" t="s">
        <v>1</v>
      </c>
      <c r="D189" s="116">
        <f aca="true" t="shared" si="65" ref="D189:Q193">D98+D104+D110+D152+D158+D164+D170+D176+D182</f>
        <v>1568582.68</v>
      </c>
      <c r="E189" s="116">
        <f t="shared" si="65"/>
        <v>1695382.03</v>
      </c>
      <c r="F189" s="116">
        <f t="shared" si="65"/>
        <v>1584686.6800000002</v>
      </c>
      <c r="G189" s="116">
        <f t="shared" si="65"/>
        <v>1604761.92</v>
      </c>
      <c r="H189" s="116">
        <f t="shared" si="65"/>
        <v>1464364.2200000002</v>
      </c>
      <c r="I189" s="116">
        <f t="shared" si="65"/>
        <v>1574048.02</v>
      </c>
      <c r="J189" s="116">
        <f t="shared" si="65"/>
        <v>1496387.91</v>
      </c>
      <c r="K189" s="116">
        <f t="shared" si="65"/>
        <v>2564215.32</v>
      </c>
      <c r="L189" s="116">
        <f t="shared" si="65"/>
        <v>1988255.9100000001</v>
      </c>
      <c r="M189" s="116">
        <f t="shared" si="65"/>
        <v>1203610.67</v>
      </c>
      <c r="N189" s="116">
        <f t="shared" si="65"/>
        <v>1920031.9200000002</v>
      </c>
      <c r="O189" s="116">
        <f t="shared" si="65"/>
        <v>1845024.49</v>
      </c>
      <c r="P189" s="295">
        <f t="shared" si="65"/>
        <v>1291922.71</v>
      </c>
      <c r="Q189" s="122">
        <f t="shared" si="65"/>
        <v>21801274.480000004</v>
      </c>
    </row>
    <row r="190" spans="1:17" s="24" customFormat="1" ht="12.75">
      <c r="A190" s="377"/>
      <c r="B190" s="377"/>
      <c r="C190" s="132" t="s">
        <v>2</v>
      </c>
      <c r="D190" s="116">
        <f t="shared" si="65"/>
        <v>1584830.1700000002</v>
      </c>
      <c r="E190" s="116">
        <f t="shared" si="65"/>
        <v>1634653.59</v>
      </c>
      <c r="F190" s="116">
        <f t="shared" si="65"/>
        <v>1550903.6199999999</v>
      </c>
      <c r="G190" s="116">
        <f t="shared" si="65"/>
        <v>1579649.17</v>
      </c>
      <c r="H190" s="116">
        <f t="shared" si="65"/>
        <v>1665609.3399999999</v>
      </c>
      <c r="I190" s="116">
        <f t="shared" si="65"/>
        <v>1622271.7199999997</v>
      </c>
      <c r="J190" s="116">
        <f t="shared" si="65"/>
        <v>1521061.26</v>
      </c>
      <c r="K190" s="116">
        <f t="shared" si="65"/>
        <v>2659526.53</v>
      </c>
      <c r="L190" s="116">
        <f t="shared" si="65"/>
        <v>1958773.1399999997</v>
      </c>
      <c r="M190" s="116">
        <f t="shared" si="65"/>
        <v>1208652.04</v>
      </c>
      <c r="N190" s="116">
        <f t="shared" si="65"/>
        <v>1930090.0699999998</v>
      </c>
      <c r="O190" s="116">
        <f t="shared" si="65"/>
        <v>1858428.59</v>
      </c>
      <c r="P190" s="295">
        <f t="shared" si="65"/>
        <v>1279324.6</v>
      </c>
      <c r="Q190" s="122">
        <f t="shared" si="65"/>
        <v>22053773.84</v>
      </c>
    </row>
    <row r="191" spans="1:17" s="24" customFormat="1" ht="12.75">
      <c r="A191" s="377"/>
      <c r="B191" s="377"/>
      <c r="C191" s="132" t="s">
        <v>4</v>
      </c>
      <c r="D191" s="116">
        <f t="shared" si="65"/>
        <v>1291450.33</v>
      </c>
      <c r="E191" s="116">
        <f t="shared" si="65"/>
        <v>2035762.35</v>
      </c>
      <c r="F191" s="116">
        <f t="shared" si="65"/>
        <v>1496208.15</v>
      </c>
      <c r="G191" s="116">
        <f t="shared" si="65"/>
        <v>1261508.5999999999</v>
      </c>
      <c r="H191" s="116">
        <f t="shared" si="65"/>
        <v>1894742.4700000002</v>
      </c>
      <c r="I191" s="116">
        <f t="shared" si="65"/>
        <v>1392961.47</v>
      </c>
      <c r="J191" s="116">
        <f t="shared" si="65"/>
        <v>1190892.5699999998</v>
      </c>
      <c r="K191" s="116">
        <f t="shared" si="65"/>
        <v>2271054.61</v>
      </c>
      <c r="L191" s="116">
        <f t="shared" si="65"/>
        <v>1881350.2400000002</v>
      </c>
      <c r="M191" s="116">
        <f t="shared" si="65"/>
        <v>976164</v>
      </c>
      <c r="N191" s="116">
        <f t="shared" si="65"/>
        <v>1594964.2</v>
      </c>
      <c r="O191" s="116">
        <f t="shared" si="65"/>
        <v>1547202.94</v>
      </c>
      <c r="P191" s="295">
        <f t="shared" si="65"/>
        <v>1144696.67</v>
      </c>
      <c r="Q191" s="122">
        <f t="shared" si="65"/>
        <v>19978958.6</v>
      </c>
    </row>
    <row r="192" spans="1:17" s="24" customFormat="1" ht="12.75">
      <c r="A192" s="377"/>
      <c r="B192" s="377"/>
      <c r="C192" s="132" t="s">
        <v>3</v>
      </c>
      <c r="D192" s="116">
        <f t="shared" si="65"/>
        <v>1454927.7400000002</v>
      </c>
      <c r="E192" s="116">
        <f t="shared" si="65"/>
        <v>1634653.59</v>
      </c>
      <c r="F192" s="116">
        <f t="shared" si="65"/>
        <v>1550903.6199999999</v>
      </c>
      <c r="G192" s="116">
        <f t="shared" si="65"/>
        <v>1376295.8599999999</v>
      </c>
      <c r="H192" s="116">
        <f t="shared" si="65"/>
        <v>1665609.3399999999</v>
      </c>
      <c r="I192" s="116">
        <f t="shared" si="65"/>
        <v>1595748.46</v>
      </c>
      <c r="J192" s="116">
        <f t="shared" si="65"/>
        <v>1467297.3699999999</v>
      </c>
      <c r="K192" s="116">
        <f t="shared" si="65"/>
        <v>2570903.62</v>
      </c>
      <c r="L192" s="116">
        <f t="shared" si="65"/>
        <v>1958773.1399999997</v>
      </c>
      <c r="M192" s="116">
        <f t="shared" si="65"/>
        <v>1093934.98</v>
      </c>
      <c r="N192" s="116">
        <f t="shared" si="65"/>
        <v>1902943.6800000002</v>
      </c>
      <c r="O192" s="116">
        <f t="shared" si="65"/>
        <v>1858428.5900000003</v>
      </c>
      <c r="P192" s="295">
        <f t="shared" si="65"/>
        <v>1279324.6</v>
      </c>
      <c r="Q192" s="122">
        <f t="shared" si="65"/>
        <v>21409744.589999996</v>
      </c>
    </row>
    <row r="193" spans="1:17" s="3" customFormat="1" ht="13.5" thickBot="1">
      <c r="A193" s="378"/>
      <c r="B193" s="378"/>
      <c r="C193" s="148" t="s">
        <v>199</v>
      </c>
      <c r="D193" s="126">
        <f t="shared" si="65"/>
        <v>148726.93999999994</v>
      </c>
      <c r="E193" s="126">
        <f t="shared" si="65"/>
        <v>405044.07</v>
      </c>
      <c r="F193" s="126">
        <f t="shared" si="65"/>
        <v>403707.1899999999</v>
      </c>
      <c r="G193" s="126">
        <f t="shared" si="65"/>
        <v>141366.41000000015</v>
      </c>
      <c r="H193" s="126">
        <f t="shared" si="65"/>
        <v>133973.44999999995</v>
      </c>
      <c r="I193" s="126">
        <f t="shared" si="65"/>
        <v>155914.6400000001</v>
      </c>
      <c r="J193" s="126">
        <f t="shared" si="65"/>
        <v>251731.45</v>
      </c>
      <c r="K193" s="126">
        <f t="shared" si="65"/>
        <v>204537.79999999996</v>
      </c>
      <c r="L193" s="126">
        <f t="shared" si="65"/>
        <v>331034.6900000002</v>
      </c>
      <c r="M193" s="126">
        <f t="shared" si="65"/>
        <v>112729.60999999999</v>
      </c>
      <c r="N193" s="126">
        <f t="shared" si="65"/>
        <v>321196.01000000007</v>
      </c>
      <c r="O193" s="126">
        <f t="shared" si="65"/>
        <v>347277.19000000006</v>
      </c>
      <c r="P193" s="296">
        <f t="shared" si="65"/>
        <v>259998.48</v>
      </c>
      <c r="Q193" s="170">
        <f t="shared" si="65"/>
        <v>3217237.93</v>
      </c>
    </row>
    <row r="194" spans="1:17" s="24" customFormat="1" ht="13.5" customHeight="1">
      <c r="A194" s="390" t="s">
        <v>110</v>
      </c>
      <c r="B194" s="475" t="s">
        <v>24</v>
      </c>
      <c r="C194" s="135" t="s">
        <v>175</v>
      </c>
      <c r="D194" s="154">
        <f>-60.97+2694.07</f>
        <v>2633.1000000000004</v>
      </c>
      <c r="E194" s="154">
        <v>1770.4</v>
      </c>
      <c r="F194" s="154">
        <v>5925.7</v>
      </c>
      <c r="G194" s="154">
        <f>-32.06+1562.58</f>
        <v>1530.52</v>
      </c>
      <c r="H194" s="154">
        <f>-6.44+1895.39</f>
        <v>1888.95</v>
      </c>
      <c r="I194" s="154">
        <f>-5.18-40.73+1177.95</f>
        <v>1132.04</v>
      </c>
      <c r="J194" s="154">
        <f>-38.37+2099.22</f>
        <v>2060.85</v>
      </c>
      <c r="K194" s="154">
        <f>-35.1+3586.49</f>
        <v>3551.39</v>
      </c>
      <c r="L194" s="154">
        <f>-43.23+2722.69</f>
        <v>2679.46</v>
      </c>
      <c r="M194" s="154">
        <f>-42.18+1678.4</f>
        <v>1636.22</v>
      </c>
      <c r="N194" s="154">
        <v>1481.55</v>
      </c>
      <c r="O194" s="154">
        <v>-2671.24</v>
      </c>
      <c r="P194" s="297">
        <v>4608.33</v>
      </c>
      <c r="Q194" s="106">
        <f aca="true" t="shared" si="66" ref="Q194:Q199">SUM(D194:P194)</f>
        <v>28227.270000000004</v>
      </c>
    </row>
    <row r="195" spans="1:17" s="24" customFormat="1" ht="12.75">
      <c r="A195" s="391"/>
      <c r="B195" s="471"/>
      <c r="C195" s="128" t="s">
        <v>1</v>
      </c>
      <c r="D195" s="155">
        <f>60.97+23445</f>
        <v>23505.97</v>
      </c>
      <c r="E195" s="155">
        <v>23445</v>
      </c>
      <c r="F195" s="155">
        <v>25380</v>
      </c>
      <c r="G195" s="155">
        <f>32.06+21155.11</f>
        <v>21187.170000000002</v>
      </c>
      <c r="H195" s="155">
        <f>6.44+19980</f>
        <v>19986.44</v>
      </c>
      <c r="I195" s="155">
        <f>5.18+40.73+21690</f>
        <v>21735.91</v>
      </c>
      <c r="J195" s="155">
        <f>38.37+22140</f>
        <v>22178.37</v>
      </c>
      <c r="K195" s="155">
        <f>35.1+31320</f>
        <v>31355.1</v>
      </c>
      <c r="L195" s="155">
        <f>43.23+23220</f>
        <v>23263.23</v>
      </c>
      <c r="M195" s="155">
        <f>42.18+17280</f>
        <v>17322.18</v>
      </c>
      <c r="N195" s="155">
        <v>18990</v>
      </c>
      <c r="O195" s="155">
        <v>0</v>
      </c>
      <c r="P195" s="286">
        <v>19395</v>
      </c>
      <c r="Q195" s="86">
        <f t="shared" si="66"/>
        <v>267744.37</v>
      </c>
    </row>
    <row r="196" spans="1:17" s="24" customFormat="1" ht="12.75">
      <c r="A196" s="391"/>
      <c r="B196" s="471"/>
      <c r="C196" s="128" t="s">
        <v>2</v>
      </c>
      <c r="D196" s="155">
        <v>24099.5</v>
      </c>
      <c r="E196" s="155">
        <v>22723.45</v>
      </c>
      <c r="F196" s="155">
        <v>25715.84</v>
      </c>
      <c r="G196" s="155">
        <v>20750.63</v>
      </c>
      <c r="H196" s="155">
        <v>20514.28</v>
      </c>
      <c r="I196" s="155">
        <v>22285.21</v>
      </c>
      <c r="J196" s="155">
        <v>22448.96</v>
      </c>
      <c r="K196" s="155">
        <v>32807.27</v>
      </c>
      <c r="L196" s="155">
        <v>23294.68</v>
      </c>
      <c r="M196" s="155">
        <v>17902.44</v>
      </c>
      <c r="N196" s="155">
        <v>18880.89</v>
      </c>
      <c r="O196" s="155">
        <v>0.46</v>
      </c>
      <c r="P196" s="286">
        <v>19663.94</v>
      </c>
      <c r="Q196" s="86">
        <f t="shared" si="66"/>
        <v>271087.54999999993</v>
      </c>
    </row>
    <row r="197" spans="1:17" s="24" customFormat="1" ht="12.75">
      <c r="A197" s="391"/>
      <c r="B197" s="471"/>
      <c r="C197" s="128" t="s">
        <v>4</v>
      </c>
      <c r="D197" s="155">
        <f>+D195</f>
        <v>23505.97</v>
      </c>
      <c r="E197" s="155">
        <f aca="true" t="shared" si="67" ref="E197:P197">+E195</f>
        <v>23445</v>
      </c>
      <c r="F197" s="155">
        <f t="shared" si="67"/>
        <v>25380</v>
      </c>
      <c r="G197" s="155">
        <f t="shared" si="67"/>
        <v>21187.170000000002</v>
      </c>
      <c r="H197" s="155">
        <f t="shared" si="67"/>
        <v>19986.44</v>
      </c>
      <c r="I197" s="155">
        <f t="shared" si="67"/>
        <v>21735.91</v>
      </c>
      <c r="J197" s="155">
        <f t="shared" si="67"/>
        <v>22178.37</v>
      </c>
      <c r="K197" s="155">
        <f t="shared" si="67"/>
        <v>31355.1</v>
      </c>
      <c r="L197" s="155">
        <f t="shared" si="67"/>
        <v>23263.23</v>
      </c>
      <c r="M197" s="155">
        <f t="shared" si="67"/>
        <v>17322.18</v>
      </c>
      <c r="N197" s="155">
        <f t="shared" si="67"/>
        <v>18990</v>
      </c>
      <c r="O197" s="155">
        <f t="shared" si="67"/>
        <v>0</v>
      </c>
      <c r="P197" s="286">
        <f t="shared" si="67"/>
        <v>19395</v>
      </c>
      <c r="Q197" s="86">
        <f t="shared" si="66"/>
        <v>267744.37</v>
      </c>
    </row>
    <row r="198" spans="1:17" s="24" customFormat="1" ht="12.75">
      <c r="A198" s="391"/>
      <c r="B198" s="471"/>
      <c r="C198" s="128" t="s">
        <v>3</v>
      </c>
      <c r="D198" s="202">
        <f>+D196</f>
        <v>24099.5</v>
      </c>
      <c r="E198" s="202">
        <f aca="true" t="shared" si="68" ref="E198:P198">+E196</f>
        <v>22723.45</v>
      </c>
      <c r="F198" s="202">
        <f t="shared" si="68"/>
        <v>25715.84</v>
      </c>
      <c r="G198" s="202">
        <f t="shared" si="68"/>
        <v>20750.63</v>
      </c>
      <c r="H198" s="202">
        <f t="shared" si="68"/>
        <v>20514.28</v>
      </c>
      <c r="I198" s="202">
        <f t="shared" si="68"/>
        <v>22285.21</v>
      </c>
      <c r="J198" s="202">
        <f t="shared" si="68"/>
        <v>22448.96</v>
      </c>
      <c r="K198" s="202">
        <f t="shared" si="68"/>
        <v>32807.27</v>
      </c>
      <c r="L198" s="202">
        <f t="shared" si="68"/>
        <v>23294.68</v>
      </c>
      <c r="M198" s="202">
        <f t="shared" si="68"/>
        <v>17902.44</v>
      </c>
      <c r="N198" s="202">
        <f t="shared" si="68"/>
        <v>18880.89</v>
      </c>
      <c r="O198" s="202">
        <f t="shared" si="68"/>
        <v>0.46</v>
      </c>
      <c r="P198" s="287">
        <f t="shared" si="68"/>
        <v>19663.94</v>
      </c>
      <c r="Q198" s="86">
        <f t="shared" si="66"/>
        <v>271087.54999999993</v>
      </c>
    </row>
    <row r="199" spans="1:17" s="3" customFormat="1" ht="13.5" thickBot="1">
      <c r="A199" s="391"/>
      <c r="B199" s="472"/>
      <c r="C199" s="140" t="s">
        <v>199</v>
      </c>
      <c r="D199" s="70">
        <f aca="true" t="shared" si="69" ref="D199:P199">D194+D195-D196</f>
        <v>2039.5699999999997</v>
      </c>
      <c r="E199" s="70">
        <f t="shared" si="69"/>
        <v>2491.9500000000007</v>
      </c>
      <c r="F199" s="70">
        <f t="shared" si="69"/>
        <v>5589.860000000001</v>
      </c>
      <c r="G199" s="70">
        <f>G194+G195-G196</f>
        <v>1967.0600000000013</v>
      </c>
      <c r="H199" s="70">
        <f t="shared" si="69"/>
        <v>1361.1100000000006</v>
      </c>
      <c r="I199" s="70">
        <f t="shared" si="69"/>
        <v>582.7400000000016</v>
      </c>
      <c r="J199" s="70">
        <f t="shared" si="69"/>
        <v>1790.2599999999984</v>
      </c>
      <c r="K199" s="70">
        <f t="shared" si="69"/>
        <v>2099.220000000001</v>
      </c>
      <c r="L199" s="70">
        <f t="shared" si="69"/>
        <v>2648.0099999999984</v>
      </c>
      <c r="M199" s="70">
        <f t="shared" si="69"/>
        <v>1055.9600000000028</v>
      </c>
      <c r="N199" s="70">
        <f t="shared" si="69"/>
        <v>1590.6599999999999</v>
      </c>
      <c r="O199" s="70">
        <f t="shared" si="69"/>
        <v>-2671.7</v>
      </c>
      <c r="P199" s="180">
        <f t="shared" si="69"/>
        <v>4339.390000000003</v>
      </c>
      <c r="Q199" s="75">
        <f t="shared" si="66"/>
        <v>24884.090000000007</v>
      </c>
    </row>
    <row r="200" spans="1:17" s="3" customFormat="1" ht="12.75">
      <c r="A200" s="391" t="s">
        <v>105</v>
      </c>
      <c r="B200" s="470" t="s">
        <v>106</v>
      </c>
      <c r="C200" s="136" t="s">
        <v>175</v>
      </c>
      <c r="D200" s="168"/>
      <c r="E200" s="168">
        <v>-219.69</v>
      </c>
      <c r="F200" s="168"/>
      <c r="G200" s="168">
        <v>0</v>
      </c>
      <c r="H200" s="168"/>
      <c r="I200" s="168"/>
      <c r="J200" s="168">
        <v>0</v>
      </c>
      <c r="K200" s="168"/>
      <c r="L200" s="168">
        <v>-0.01</v>
      </c>
      <c r="M200" s="168">
        <v>-0.01</v>
      </c>
      <c r="N200" s="168">
        <v>-0.03</v>
      </c>
      <c r="O200" s="168">
        <v>-0.01</v>
      </c>
      <c r="P200" s="285">
        <v>0.23</v>
      </c>
      <c r="Q200" s="106">
        <f aca="true" t="shared" si="70" ref="Q200:Q205">SUM(D200:P200)</f>
        <v>-219.51999999999998</v>
      </c>
    </row>
    <row r="201" spans="1:17" s="3" customFormat="1" ht="12.75">
      <c r="A201" s="391"/>
      <c r="B201" s="471"/>
      <c r="C201" s="128" t="s">
        <v>1</v>
      </c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286"/>
      <c r="Q201" s="86">
        <f t="shared" si="70"/>
        <v>0</v>
      </c>
    </row>
    <row r="202" spans="1:17" s="3" customFormat="1" ht="12.75">
      <c r="A202" s="391"/>
      <c r="B202" s="471"/>
      <c r="C202" s="128" t="s">
        <v>2</v>
      </c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286"/>
      <c r="Q202" s="86">
        <f t="shared" si="70"/>
        <v>0</v>
      </c>
    </row>
    <row r="203" spans="1:17" s="3" customFormat="1" ht="12.75">
      <c r="A203" s="391"/>
      <c r="B203" s="471"/>
      <c r="C203" s="128" t="s">
        <v>4</v>
      </c>
      <c r="D203" s="155"/>
      <c r="E203" s="155"/>
      <c r="F203" s="155">
        <f>+F201</f>
        <v>0</v>
      </c>
      <c r="G203" s="155"/>
      <c r="H203" s="155"/>
      <c r="I203" s="155"/>
      <c r="J203" s="155"/>
      <c r="K203" s="155"/>
      <c r="L203" s="155"/>
      <c r="M203" s="155"/>
      <c r="N203" s="155"/>
      <c r="O203" s="155"/>
      <c r="P203" s="286"/>
      <c r="Q203" s="86">
        <f t="shared" si="70"/>
        <v>0</v>
      </c>
    </row>
    <row r="204" spans="1:17" s="3" customFormat="1" ht="12.75">
      <c r="A204" s="391"/>
      <c r="B204" s="471"/>
      <c r="C204" s="128" t="s">
        <v>3</v>
      </c>
      <c r="D204" s="202"/>
      <c r="E204" s="202"/>
      <c r="F204" s="202">
        <f>+F202</f>
        <v>0</v>
      </c>
      <c r="G204" s="202"/>
      <c r="H204" s="202"/>
      <c r="I204" s="202"/>
      <c r="J204" s="202"/>
      <c r="K204" s="202"/>
      <c r="L204" s="202"/>
      <c r="M204" s="202"/>
      <c r="N204" s="202"/>
      <c r="O204" s="202"/>
      <c r="P204" s="287"/>
      <c r="Q204" s="86">
        <f t="shared" si="70"/>
        <v>0</v>
      </c>
    </row>
    <row r="205" spans="1:17" s="3" customFormat="1" ht="13.5" thickBot="1">
      <c r="A205" s="391"/>
      <c r="B205" s="472"/>
      <c r="C205" s="140" t="s">
        <v>199</v>
      </c>
      <c r="D205" s="70"/>
      <c r="E205" s="70">
        <f aca="true" t="shared" si="71" ref="E205:P205">E200+E201-E202</f>
        <v>-219.69</v>
      </c>
      <c r="F205" s="70">
        <f t="shared" si="71"/>
        <v>0</v>
      </c>
      <c r="G205" s="70">
        <f>G200+G201-G202</f>
        <v>0</v>
      </c>
      <c r="H205" s="70"/>
      <c r="I205" s="70"/>
      <c r="J205" s="70">
        <f t="shared" si="71"/>
        <v>0</v>
      </c>
      <c r="K205" s="70"/>
      <c r="L205" s="70">
        <f t="shared" si="71"/>
        <v>-0.01</v>
      </c>
      <c r="M205" s="70">
        <f t="shared" si="71"/>
        <v>-0.01</v>
      </c>
      <c r="N205" s="70">
        <f t="shared" si="71"/>
        <v>-0.03</v>
      </c>
      <c r="O205" s="70">
        <f t="shared" si="71"/>
        <v>-0.01</v>
      </c>
      <c r="P205" s="180">
        <f t="shared" si="71"/>
        <v>0.23</v>
      </c>
      <c r="Q205" s="75">
        <f t="shared" si="70"/>
        <v>-219.51999999999998</v>
      </c>
    </row>
    <row r="206" spans="1:17" s="3" customFormat="1" ht="13.5" customHeight="1">
      <c r="A206" s="391" t="s">
        <v>137</v>
      </c>
      <c r="B206" s="470" t="s">
        <v>30</v>
      </c>
      <c r="C206" s="136" t="s">
        <v>175</v>
      </c>
      <c r="D206" s="167"/>
      <c r="E206" s="167"/>
      <c r="F206" s="167"/>
      <c r="G206" s="167"/>
      <c r="H206" s="167"/>
      <c r="I206" s="167"/>
      <c r="J206" s="167"/>
      <c r="K206" s="167">
        <v>31356.74</v>
      </c>
      <c r="L206" s="167">
        <v>38872.52</v>
      </c>
      <c r="M206" s="168"/>
      <c r="N206" s="167"/>
      <c r="O206" s="167"/>
      <c r="P206" s="303"/>
      <c r="Q206" s="106">
        <f aca="true" t="shared" si="72" ref="Q206:Q223">SUM(D206:P206)</f>
        <v>70229.26</v>
      </c>
    </row>
    <row r="207" spans="1:17" s="3" customFormat="1" ht="12.75">
      <c r="A207" s="391"/>
      <c r="B207" s="471"/>
      <c r="C207" s="128" t="s">
        <v>1</v>
      </c>
      <c r="D207" s="80"/>
      <c r="E207" s="80"/>
      <c r="F207" s="80"/>
      <c r="G207" s="80"/>
      <c r="H207" s="80"/>
      <c r="I207" s="80"/>
      <c r="J207" s="80"/>
      <c r="K207" s="80">
        <v>323717.6</v>
      </c>
      <c r="L207" s="80">
        <v>241209.76</v>
      </c>
      <c r="M207" s="155"/>
      <c r="N207" s="80"/>
      <c r="O207" s="80"/>
      <c r="P207" s="291"/>
      <c r="Q207" s="86">
        <f t="shared" si="72"/>
        <v>564927.36</v>
      </c>
    </row>
    <row r="208" spans="1:17" s="3" customFormat="1" ht="12.75">
      <c r="A208" s="391"/>
      <c r="B208" s="471"/>
      <c r="C208" s="128" t="s">
        <v>2</v>
      </c>
      <c r="D208" s="80"/>
      <c r="E208" s="80"/>
      <c r="F208" s="80"/>
      <c r="G208" s="80"/>
      <c r="H208" s="80"/>
      <c r="I208" s="80"/>
      <c r="J208" s="80"/>
      <c r="K208" s="80">
        <v>335994.15</v>
      </c>
      <c r="L208" s="80">
        <v>241024.05</v>
      </c>
      <c r="M208" s="155"/>
      <c r="N208" s="80"/>
      <c r="O208" s="80"/>
      <c r="P208" s="291"/>
      <c r="Q208" s="86">
        <f t="shared" si="72"/>
        <v>577018.2</v>
      </c>
    </row>
    <row r="209" spans="1:17" s="3" customFormat="1" ht="12.75">
      <c r="A209" s="391"/>
      <c r="B209" s="471"/>
      <c r="C209" s="128" t="s">
        <v>4</v>
      </c>
      <c r="D209" s="155"/>
      <c r="E209" s="155"/>
      <c r="F209" s="155"/>
      <c r="G209" s="155"/>
      <c r="H209" s="155"/>
      <c r="I209" s="155"/>
      <c r="J209" s="155"/>
      <c r="K209" s="155">
        <f>+K207</f>
        <v>323717.6</v>
      </c>
      <c r="L209" s="155">
        <f>+L207</f>
        <v>241209.76</v>
      </c>
      <c r="M209" s="155"/>
      <c r="N209" s="155"/>
      <c r="O209" s="155"/>
      <c r="P209" s="286"/>
      <c r="Q209" s="86">
        <f t="shared" si="72"/>
        <v>564927.36</v>
      </c>
    </row>
    <row r="210" spans="1:17" s="3" customFormat="1" ht="12.75">
      <c r="A210" s="391"/>
      <c r="B210" s="471"/>
      <c r="C210" s="128" t="s">
        <v>3</v>
      </c>
      <c r="D210" s="202"/>
      <c r="E210" s="202"/>
      <c r="F210" s="202"/>
      <c r="G210" s="202"/>
      <c r="H210" s="202"/>
      <c r="I210" s="202"/>
      <c r="J210" s="202"/>
      <c r="K210" s="202">
        <f>+K208</f>
        <v>335994.15</v>
      </c>
      <c r="L210" s="202">
        <f>+L208</f>
        <v>241024.05</v>
      </c>
      <c r="M210" s="202"/>
      <c r="N210" s="202"/>
      <c r="O210" s="202"/>
      <c r="P210" s="287"/>
      <c r="Q210" s="86">
        <f t="shared" si="72"/>
        <v>577018.2</v>
      </c>
    </row>
    <row r="211" spans="1:17" s="3" customFormat="1" ht="13.5" thickBot="1">
      <c r="A211" s="391"/>
      <c r="B211" s="472"/>
      <c r="C211" s="140" t="s">
        <v>199</v>
      </c>
      <c r="D211" s="70"/>
      <c r="E211" s="70"/>
      <c r="F211" s="70"/>
      <c r="G211" s="70"/>
      <c r="H211" s="70"/>
      <c r="I211" s="70"/>
      <c r="J211" s="70"/>
      <c r="K211" s="70">
        <f>K206+K207-K208</f>
        <v>19080.189999999944</v>
      </c>
      <c r="L211" s="70">
        <f>L206+L207-L208</f>
        <v>39058.23000000004</v>
      </c>
      <c r="M211" s="70"/>
      <c r="N211" s="70"/>
      <c r="O211" s="70"/>
      <c r="P211" s="180"/>
      <c r="Q211" s="75">
        <f t="shared" si="72"/>
        <v>58138.419999999984</v>
      </c>
    </row>
    <row r="212" spans="1:17" s="3" customFormat="1" ht="13.5" customHeight="1">
      <c r="A212" s="391" t="s">
        <v>25</v>
      </c>
      <c r="B212" s="470" t="s">
        <v>30</v>
      </c>
      <c r="C212" s="136" t="s">
        <v>175</v>
      </c>
      <c r="D212" s="167"/>
      <c r="E212" s="167"/>
      <c r="F212" s="167"/>
      <c r="G212" s="167"/>
      <c r="H212" s="167"/>
      <c r="I212" s="167"/>
      <c r="J212" s="167"/>
      <c r="K212" s="167">
        <v>185.56</v>
      </c>
      <c r="L212" s="167">
        <v>240.4</v>
      </c>
      <c r="M212" s="168"/>
      <c r="N212" s="167"/>
      <c r="O212" s="167"/>
      <c r="P212" s="303"/>
      <c r="Q212" s="106">
        <f t="shared" si="72"/>
        <v>425.96000000000004</v>
      </c>
    </row>
    <row r="213" spans="1:17" s="3" customFormat="1" ht="12.75">
      <c r="A213" s="391"/>
      <c r="B213" s="471"/>
      <c r="C213" s="128" t="s">
        <v>1</v>
      </c>
      <c r="D213" s="80"/>
      <c r="E213" s="80"/>
      <c r="F213" s="80"/>
      <c r="G213" s="80"/>
      <c r="H213" s="80"/>
      <c r="I213" s="80"/>
      <c r="J213" s="80"/>
      <c r="K213" s="80">
        <v>1900.62</v>
      </c>
      <c r="L213" s="80">
        <v>1416.55</v>
      </c>
      <c r="M213" s="155"/>
      <c r="N213" s="80"/>
      <c r="O213" s="80"/>
      <c r="P213" s="291"/>
      <c r="Q213" s="86">
        <f t="shared" si="72"/>
        <v>3317.17</v>
      </c>
    </row>
    <row r="214" spans="1:17" s="3" customFormat="1" ht="12.75">
      <c r="A214" s="391"/>
      <c r="B214" s="471"/>
      <c r="C214" s="128" t="s">
        <v>2</v>
      </c>
      <c r="D214" s="80"/>
      <c r="E214" s="80"/>
      <c r="F214" s="80"/>
      <c r="G214" s="80"/>
      <c r="H214" s="80"/>
      <c r="I214" s="80"/>
      <c r="J214" s="80"/>
      <c r="K214" s="80">
        <v>1972.59</v>
      </c>
      <c r="L214" s="80">
        <v>1415.1</v>
      </c>
      <c r="M214" s="155"/>
      <c r="N214" s="80"/>
      <c r="O214" s="80"/>
      <c r="P214" s="291"/>
      <c r="Q214" s="86">
        <f t="shared" si="72"/>
        <v>3387.6899999999996</v>
      </c>
    </row>
    <row r="215" spans="1:17" s="3" customFormat="1" ht="12.75">
      <c r="A215" s="391"/>
      <c r="B215" s="471"/>
      <c r="C215" s="128" t="s">
        <v>4</v>
      </c>
      <c r="D215" s="155"/>
      <c r="E215" s="155"/>
      <c r="F215" s="155"/>
      <c r="G215" s="155"/>
      <c r="H215" s="155"/>
      <c r="I215" s="155"/>
      <c r="J215" s="155"/>
      <c r="K215" s="155">
        <f>+K213</f>
        <v>1900.62</v>
      </c>
      <c r="L215" s="155">
        <f>+L213</f>
        <v>1416.55</v>
      </c>
      <c r="M215" s="155"/>
      <c r="N215" s="155"/>
      <c r="O215" s="155"/>
      <c r="P215" s="286"/>
      <c r="Q215" s="86">
        <f t="shared" si="72"/>
        <v>3317.17</v>
      </c>
    </row>
    <row r="216" spans="1:17" s="3" customFormat="1" ht="12.75">
      <c r="A216" s="391"/>
      <c r="B216" s="471"/>
      <c r="C216" s="128" t="s">
        <v>3</v>
      </c>
      <c r="D216" s="202"/>
      <c r="E216" s="202"/>
      <c r="F216" s="202"/>
      <c r="G216" s="202"/>
      <c r="H216" s="202"/>
      <c r="I216" s="202"/>
      <c r="J216" s="202"/>
      <c r="K216" s="202">
        <f>+K214</f>
        <v>1972.59</v>
      </c>
      <c r="L216" s="202">
        <f>+L214</f>
        <v>1415.1</v>
      </c>
      <c r="M216" s="202"/>
      <c r="N216" s="202"/>
      <c r="O216" s="202"/>
      <c r="P216" s="287"/>
      <c r="Q216" s="86">
        <f t="shared" si="72"/>
        <v>3387.6899999999996</v>
      </c>
    </row>
    <row r="217" spans="1:17" s="3" customFormat="1" ht="13.5" thickBot="1">
      <c r="A217" s="391"/>
      <c r="B217" s="472"/>
      <c r="C217" s="140" t="s">
        <v>199</v>
      </c>
      <c r="D217" s="70"/>
      <c r="E217" s="70"/>
      <c r="F217" s="70"/>
      <c r="G217" s="70"/>
      <c r="H217" s="70"/>
      <c r="I217" s="70"/>
      <c r="J217" s="70"/>
      <c r="K217" s="70">
        <f>K212+K213-K214</f>
        <v>113.58999999999992</v>
      </c>
      <c r="L217" s="70">
        <f>L212+L213-L214</f>
        <v>241.85000000000014</v>
      </c>
      <c r="M217" s="70"/>
      <c r="N217" s="70"/>
      <c r="O217" s="70"/>
      <c r="P217" s="180"/>
      <c r="Q217" s="75">
        <f t="shared" si="72"/>
        <v>355.44000000000005</v>
      </c>
    </row>
    <row r="218" spans="1:17" s="3" customFormat="1" ht="13.5" customHeight="1">
      <c r="A218" s="391" t="s">
        <v>31</v>
      </c>
      <c r="B218" s="470" t="s">
        <v>30</v>
      </c>
      <c r="C218" s="136" t="s">
        <v>175</v>
      </c>
      <c r="D218" s="167"/>
      <c r="E218" s="167"/>
      <c r="F218" s="167"/>
      <c r="G218" s="167"/>
      <c r="H218" s="167"/>
      <c r="I218" s="167"/>
      <c r="J218" s="167"/>
      <c r="K218" s="167">
        <v>7745.52</v>
      </c>
      <c r="L218" s="167">
        <v>9965.65</v>
      </c>
      <c r="M218" s="168"/>
      <c r="N218" s="167"/>
      <c r="O218" s="167"/>
      <c r="P218" s="303"/>
      <c r="Q218" s="106">
        <f t="shared" si="72"/>
        <v>17711.17</v>
      </c>
    </row>
    <row r="219" spans="1:17" s="3" customFormat="1" ht="12.75">
      <c r="A219" s="391"/>
      <c r="B219" s="471"/>
      <c r="C219" s="128" t="s">
        <v>1</v>
      </c>
      <c r="D219" s="80"/>
      <c r="E219" s="80"/>
      <c r="F219" s="80"/>
      <c r="G219" s="80"/>
      <c r="H219" s="80"/>
      <c r="I219" s="80"/>
      <c r="J219" s="80"/>
      <c r="K219" s="80">
        <v>81259.72</v>
      </c>
      <c r="L219" s="80">
        <v>60710.64</v>
      </c>
      <c r="M219" s="155"/>
      <c r="N219" s="80"/>
      <c r="O219" s="80"/>
      <c r="P219" s="291"/>
      <c r="Q219" s="86">
        <f t="shared" si="72"/>
        <v>141970.36</v>
      </c>
    </row>
    <row r="220" spans="1:17" s="3" customFormat="1" ht="12.75">
      <c r="A220" s="391"/>
      <c r="B220" s="471"/>
      <c r="C220" s="128" t="s">
        <v>2</v>
      </c>
      <c r="D220" s="80"/>
      <c r="E220" s="80"/>
      <c r="F220" s="80"/>
      <c r="G220" s="80"/>
      <c r="H220" s="80"/>
      <c r="I220" s="80"/>
      <c r="J220" s="80"/>
      <c r="K220" s="80">
        <v>84163.14</v>
      </c>
      <c r="L220" s="80">
        <v>60373.86</v>
      </c>
      <c r="M220" s="155"/>
      <c r="N220" s="80"/>
      <c r="O220" s="80"/>
      <c r="P220" s="291"/>
      <c r="Q220" s="86">
        <f t="shared" si="72"/>
        <v>144537</v>
      </c>
    </row>
    <row r="221" spans="1:17" s="3" customFormat="1" ht="12.75">
      <c r="A221" s="391"/>
      <c r="B221" s="471"/>
      <c r="C221" s="128" t="s">
        <v>4</v>
      </c>
      <c r="D221" s="155"/>
      <c r="E221" s="155"/>
      <c r="F221" s="155"/>
      <c r="G221" s="155"/>
      <c r="H221" s="155"/>
      <c r="I221" s="155"/>
      <c r="J221" s="155"/>
      <c r="K221" s="155">
        <f>+K219</f>
        <v>81259.72</v>
      </c>
      <c r="L221" s="155">
        <f>+L219</f>
        <v>60710.64</v>
      </c>
      <c r="M221" s="155"/>
      <c r="N221" s="155"/>
      <c r="O221" s="155"/>
      <c r="P221" s="286"/>
      <c r="Q221" s="86">
        <f t="shared" si="72"/>
        <v>141970.36</v>
      </c>
    </row>
    <row r="222" spans="1:17" s="3" customFormat="1" ht="12.75">
      <c r="A222" s="391"/>
      <c r="B222" s="471"/>
      <c r="C222" s="128" t="s">
        <v>3</v>
      </c>
      <c r="D222" s="202"/>
      <c r="E222" s="202"/>
      <c r="F222" s="202"/>
      <c r="G222" s="202"/>
      <c r="H222" s="202"/>
      <c r="I222" s="202"/>
      <c r="J222" s="202"/>
      <c r="K222" s="202">
        <f>+K220</f>
        <v>84163.14</v>
      </c>
      <c r="L222" s="202">
        <f>+L220</f>
        <v>60373.86</v>
      </c>
      <c r="M222" s="202"/>
      <c r="N222" s="202"/>
      <c r="O222" s="202"/>
      <c r="P222" s="287"/>
      <c r="Q222" s="86">
        <f t="shared" si="72"/>
        <v>144537</v>
      </c>
    </row>
    <row r="223" spans="1:17" s="3" customFormat="1" ht="13.5" thickBot="1">
      <c r="A223" s="391"/>
      <c r="B223" s="472"/>
      <c r="C223" s="140" t="s">
        <v>199</v>
      </c>
      <c r="D223" s="70"/>
      <c r="E223" s="70"/>
      <c r="F223" s="70"/>
      <c r="G223" s="70"/>
      <c r="H223" s="70"/>
      <c r="I223" s="70"/>
      <c r="J223" s="70"/>
      <c r="K223" s="70">
        <f>K218+K219-K220</f>
        <v>4842.100000000006</v>
      </c>
      <c r="L223" s="70">
        <f>L218+L219-L220</f>
        <v>10302.429999999993</v>
      </c>
      <c r="M223" s="70"/>
      <c r="N223" s="70"/>
      <c r="O223" s="70"/>
      <c r="P223" s="180"/>
      <c r="Q223" s="75">
        <f t="shared" si="72"/>
        <v>15144.529999999999</v>
      </c>
    </row>
    <row r="224" spans="1:17" s="3" customFormat="1" ht="12.75">
      <c r="A224" s="391" t="s">
        <v>39</v>
      </c>
      <c r="B224" s="470" t="s">
        <v>27</v>
      </c>
      <c r="C224" s="136" t="s">
        <v>175</v>
      </c>
      <c r="D224" s="167"/>
      <c r="E224" s="167"/>
      <c r="F224" s="168">
        <v>1848.46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303"/>
      <c r="Q224" s="106">
        <f aca="true" t="shared" si="73" ref="Q224:Q241">SUM(D224:P224)</f>
        <v>1848.46</v>
      </c>
    </row>
    <row r="225" spans="1:17" s="3" customFormat="1" ht="12.75">
      <c r="A225" s="391"/>
      <c r="B225" s="471"/>
      <c r="C225" s="128" t="s">
        <v>1</v>
      </c>
      <c r="D225" s="80"/>
      <c r="E225" s="80"/>
      <c r="F225" s="155">
        <v>14640</v>
      </c>
      <c r="G225" s="80"/>
      <c r="H225" s="80"/>
      <c r="I225" s="80"/>
      <c r="J225" s="80"/>
      <c r="K225" s="80"/>
      <c r="L225" s="80"/>
      <c r="M225" s="80"/>
      <c r="N225" s="80"/>
      <c r="O225" s="80"/>
      <c r="P225" s="291"/>
      <c r="Q225" s="86">
        <f t="shared" si="73"/>
        <v>14640</v>
      </c>
    </row>
    <row r="226" spans="1:17" s="3" customFormat="1" ht="12.75">
      <c r="A226" s="391"/>
      <c r="B226" s="471"/>
      <c r="C226" s="128" t="s">
        <v>2</v>
      </c>
      <c r="D226" s="80"/>
      <c r="E226" s="80"/>
      <c r="F226" s="155">
        <v>14600.5</v>
      </c>
      <c r="G226" s="80"/>
      <c r="H226" s="80"/>
      <c r="I226" s="80"/>
      <c r="J226" s="80"/>
      <c r="K226" s="80"/>
      <c r="L226" s="80"/>
      <c r="M226" s="80"/>
      <c r="N226" s="80"/>
      <c r="O226" s="80"/>
      <c r="P226" s="291"/>
      <c r="Q226" s="86">
        <f t="shared" si="73"/>
        <v>14600.5</v>
      </c>
    </row>
    <row r="227" spans="1:17" s="3" customFormat="1" ht="12.75">
      <c r="A227" s="391"/>
      <c r="B227" s="471"/>
      <c r="C227" s="128" t="s">
        <v>4</v>
      </c>
      <c r="D227" s="155"/>
      <c r="E227" s="155"/>
      <c r="F227" s="155">
        <f>+F225</f>
        <v>14640</v>
      </c>
      <c r="G227" s="155"/>
      <c r="H227" s="155"/>
      <c r="I227" s="155"/>
      <c r="J227" s="155"/>
      <c r="K227" s="155"/>
      <c r="L227" s="155"/>
      <c r="M227" s="155"/>
      <c r="N227" s="155"/>
      <c r="O227" s="155"/>
      <c r="P227" s="286"/>
      <c r="Q227" s="86">
        <f t="shared" si="73"/>
        <v>14640</v>
      </c>
    </row>
    <row r="228" spans="1:17" s="3" customFormat="1" ht="12.75">
      <c r="A228" s="391"/>
      <c r="B228" s="471"/>
      <c r="C228" s="128" t="s">
        <v>3</v>
      </c>
      <c r="D228" s="202"/>
      <c r="E228" s="202"/>
      <c r="F228" s="202">
        <f>+F226</f>
        <v>14600.5</v>
      </c>
      <c r="G228" s="202"/>
      <c r="H228" s="202"/>
      <c r="I228" s="202"/>
      <c r="J228" s="202"/>
      <c r="K228" s="202"/>
      <c r="L228" s="202"/>
      <c r="M228" s="202"/>
      <c r="N228" s="202"/>
      <c r="O228" s="202"/>
      <c r="P228" s="287"/>
      <c r="Q228" s="86">
        <f t="shared" si="73"/>
        <v>14600.5</v>
      </c>
    </row>
    <row r="229" spans="1:17" s="3" customFormat="1" ht="13.5" thickBot="1">
      <c r="A229" s="391"/>
      <c r="B229" s="472"/>
      <c r="C229" s="140" t="s">
        <v>199</v>
      </c>
      <c r="D229" s="70"/>
      <c r="E229" s="70"/>
      <c r="F229" s="70">
        <f>F224+F225-F226</f>
        <v>1887.9599999999991</v>
      </c>
      <c r="G229" s="70"/>
      <c r="H229" s="70"/>
      <c r="I229" s="70"/>
      <c r="J229" s="70"/>
      <c r="K229" s="70"/>
      <c r="L229" s="70"/>
      <c r="M229" s="70"/>
      <c r="N229" s="70"/>
      <c r="O229" s="70"/>
      <c r="P229" s="180"/>
      <c r="Q229" s="75">
        <f t="shared" si="73"/>
        <v>1887.9599999999991</v>
      </c>
    </row>
    <row r="230" spans="1:17" s="3" customFormat="1" ht="12.75">
      <c r="A230" s="391" t="s">
        <v>37</v>
      </c>
      <c r="B230" s="470" t="s">
        <v>27</v>
      </c>
      <c r="C230" s="136" t="s">
        <v>175</v>
      </c>
      <c r="D230" s="167"/>
      <c r="E230" s="167"/>
      <c r="F230" s="167"/>
      <c r="G230" s="167"/>
      <c r="H230" s="167"/>
      <c r="I230" s="167"/>
      <c r="J230" s="167"/>
      <c r="K230" s="167"/>
      <c r="L230" s="167"/>
      <c r="M230" s="168">
        <v>1104.08</v>
      </c>
      <c r="N230" s="167"/>
      <c r="O230" s="167"/>
      <c r="P230" s="303"/>
      <c r="Q230" s="106">
        <f t="shared" si="73"/>
        <v>1104.08</v>
      </c>
    </row>
    <row r="231" spans="1:17" s="3" customFormat="1" ht="12.75">
      <c r="A231" s="391"/>
      <c r="B231" s="471"/>
      <c r="C231" s="128" t="s">
        <v>1</v>
      </c>
      <c r="D231" s="80"/>
      <c r="E231" s="80"/>
      <c r="F231" s="80"/>
      <c r="G231" s="80"/>
      <c r="H231" s="80"/>
      <c r="I231" s="80"/>
      <c r="J231" s="80"/>
      <c r="K231" s="80"/>
      <c r="L231" s="80"/>
      <c r="M231" s="155">
        <v>8640</v>
      </c>
      <c r="N231" s="80"/>
      <c r="O231" s="80"/>
      <c r="P231" s="291"/>
      <c r="Q231" s="86">
        <f t="shared" si="73"/>
        <v>8640</v>
      </c>
    </row>
    <row r="232" spans="1:17" s="3" customFormat="1" ht="12.75">
      <c r="A232" s="391"/>
      <c r="B232" s="471"/>
      <c r="C232" s="128" t="s">
        <v>2</v>
      </c>
      <c r="D232" s="80"/>
      <c r="E232" s="80"/>
      <c r="F232" s="80"/>
      <c r="G232" s="80"/>
      <c r="H232" s="80"/>
      <c r="I232" s="80"/>
      <c r="J232" s="80"/>
      <c r="K232" s="80"/>
      <c r="L232" s="80"/>
      <c r="M232" s="155">
        <v>8896.69</v>
      </c>
      <c r="N232" s="80"/>
      <c r="O232" s="80"/>
      <c r="P232" s="291"/>
      <c r="Q232" s="86">
        <f t="shared" si="73"/>
        <v>8896.69</v>
      </c>
    </row>
    <row r="233" spans="1:17" s="3" customFormat="1" ht="12.75">
      <c r="A233" s="391"/>
      <c r="B233" s="471"/>
      <c r="C233" s="128" t="s">
        <v>4</v>
      </c>
      <c r="D233" s="155"/>
      <c r="E233" s="155"/>
      <c r="F233" s="155"/>
      <c r="G233" s="155"/>
      <c r="H233" s="155"/>
      <c r="I233" s="155"/>
      <c r="J233" s="155"/>
      <c r="K233" s="155"/>
      <c r="L233" s="155"/>
      <c r="M233" s="155">
        <f>+M231</f>
        <v>8640</v>
      </c>
      <c r="N233" s="155"/>
      <c r="O233" s="155"/>
      <c r="P233" s="286"/>
      <c r="Q233" s="86">
        <f t="shared" si="73"/>
        <v>8640</v>
      </c>
    </row>
    <row r="234" spans="1:17" s="3" customFormat="1" ht="12.75">
      <c r="A234" s="391"/>
      <c r="B234" s="471"/>
      <c r="C234" s="128" t="s">
        <v>3</v>
      </c>
      <c r="D234" s="202"/>
      <c r="E234" s="202"/>
      <c r="F234" s="202"/>
      <c r="G234" s="202"/>
      <c r="H234" s="202"/>
      <c r="I234" s="202"/>
      <c r="J234" s="202"/>
      <c r="K234" s="202"/>
      <c r="L234" s="202"/>
      <c r="M234" s="202">
        <f>+M232</f>
        <v>8896.69</v>
      </c>
      <c r="N234" s="202"/>
      <c r="O234" s="202"/>
      <c r="P234" s="287"/>
      <c r="Q234" s="86">
        <f t="shared" si="73"/>
        <v>8896.69</v>
      </c>
    </row>
    <row r="235" spans="1:17" s="3" customFormat="1" ht="13.5" thickBot="1">
      <c r="A235" s="391"/>
      <c r="B235" s="472"/>
      <c r="C235" s="140" t="s">
        <v>199</v>
      </c>
      <c r="D235" s="70"/>
      <c r="E235" s="70"/>
      <c r="F235" s="70"/>
      <c r="G235" s="70"/>
      <c r="H235" s="70"/>
      <c r="I235" s="70"/>
      <c r="J235" s="70"/>
      <c r="K235" s="70"/>
      <c r="L235" s="70"/>
      <c r="M235" s="70">
        <f>M230+M231-M232</f>
        <v>847.3899999999994</v>
      </c>
      <c r="N235" s="70"/>
      <c r="O235" s="70"/>
      <c r="P235" s="180"/>
      <c r="Q235" s="75">
        <f t="shared" si="73"/>
        <v>847.3899999999994</v>
      </c>
    </row>
    <row r="236" spans="1:17" s="24" customFormat="1" ht="12.75">
      <c r="A236" s="391" t="s">
        <v>49</v>
      </c>
      <c r="B236" s="470" t="s">
        <v>27</v>
      </c>
      <c r="C236" s="136" t="s">
        <v>175</v>
      </c>
      <c r="D236" s="168">
        <v>5611.2</v>
      </c>
      <c r="E236" s="168">
        <v>10419.57</v>
      </c>
      <c r="F236" s="168">
        <v>12537.2</v>
      </c>
      <c r="G236" s="168">
        <v>4174.33</v>
      </c>
      <c r="H236" s="168">
        <v>10349.22</v>
      </c>
      <c r="I236" s="168">
        <v>5993.46</v>
      </c>
      <c r="J236" s="168">
        <v>11023.73</v>
      </c>
      <c r="K236" s="168">
        <v>8833.03</v>
      </c>
      <c r="L236" s="168">
        <v>8759.28</v>
      </c>
      <c r="M236" s="168">
        <v>2106.6</v>
      </c>
      <c r="N236" s="168">
        <v>10591.55</v>
      </c>
      <c r="O236" s="168">
        <v>12844.29</v>
      </c>
      <c r="P236" s="285">
        <v>8574.96</v>
      </c>
      <c r="Q236" s="90">
        <f t="shared" si="73"/>
        <v>111818.42000000001</v>
      </c>
    </row>
    <row r="237" spans="1:17" s="24" customFormat="1" ht="12.75">
      <c r="A237" s="391"/>
      <c r="B237" s="471"/>
      <c r="C237" s="128" t="s">
        <v>1</v>
      </c>
      <c r="D237" s="155">
        <v>56160</v>
      </c>
      <c r="E237" s="155">
        <v>57240</v>
      </c>
      <c r="F237" s="155">
        <v>43200</v>
      </c>
      <c r="G237" s="155">
        <v>56880</v>
      </c>
      <c r="H237" s="155">
        <v>56880</v>
      </c>
      <c r="I237" s="155">
        <v>56553.25</v>
      </c>
      <c r="J237" s="155">
        <v>57600</v>
      </c>
      <c r="K237" s="155">
        <v>74160</v>
      </c>
      <c r="L237" s="155">
        <v>69360</v>
      </c>
      <c r="M237" s="155">
        <v>29520</v>
      </c>
      <c r="N237" s="155">
        <v>68760</v>
      </c>
      <c r="O237" s="155">
        <v>68760</v>
      </c>
      <c r="P237" s="286">
        <v>46080</v>
      </c>
      <c r="Q237" s="86">
        <f t="shared" si="73"/>
        <v>741153.25</v>
      </c>
    </row>
    <row r="238" spans="1:17" s="24" customFormat="1" ht="12.75">
      <c r="A238" s="391"/>
      <c r="B238" s="471"/>
      <c r="C238" s="128" t="s">
        <v>2</v>
      </c>
      <c r="D238" s="155">
        <v>56861.17</v>
      </c>
      <c r="E238" s="155">
        <v>56478.35</v>
      </c>
      <c r="F238" s="155">
        <v>42276.15</v>
      </c>
      <c r="G238" s="155">
        <v>56040.34</v>
      </c>
      <c r="H238" s="155">
        <v>58821.05</v>
      </c>
      <c r="I238" s="155">
        <v>57838.51</v>
      </c>
      <c r="J238" s="155">
        <v>58092.01</v>
      </c>
      <c r="K238" s="155">
        <v>76693.7</v>
      </c>
      <c r="L238" s="155">
        <v>68064.36</v>
      </c>
      <c r="M238" s="155">
        <v>29405.19</v>
      </c>
      <c r="N238" s="155">
        <v>68970.55</v>
      </c>
      <c r="O238" s="155">
        <v>69739.92</v>
      </c>
      <c r="P238" s="286">
        <v>46041.7</v>
      </c>
      <c r="Q238" s="86">
        <f t="shared" si="73"/>
        <v>745323</v>
      </c>
    </row>
    <row r="239" spans="1:17" s="24" customFormat="1" ht="12.75">
      <c r="A239" s="391"/>
      <c r="B239" s="471"/>
      <c r="C239" s="128" t="s">
        <v>4</v>
      </c>
      <c r="D239" s="155">
        <f>+D237</f>
        <v>56160</v>
      </c>
      <c r="E239" s="155">
        <f aca="true" t="shared" si="74" ref="E239:P239">+E237</f>
        <v>57240</v>
      </c>
      <c r="F239" s="155">
        <f t="shared" si="74"/>
        <v>43200</v>
      </c>
      <c r="G239" s="155">
        <f t="shared" si="74"/>
        <v>56880</v>
      </c>
      <c r="H239" s="155">
        <f t="shared" si="74"/>
        <v>56880</v>
      </c>
      <c r="I239" s="155">
        <f t="shared" si="74"/>
        <v>56553.25</v>
      </c>
      <c r="J239" s="155">
        <f t="shared" si="74"/>
        <v>57600</v>
      </c>
      <c r="K239" s="155">
        <f t="shared" si="74"/>
        <v>74160</v>
      </c>
      <c r="L239" s="155">
        <f t="shared" si="74"/>
        <v>69360</v>
      </c>
      <c r="M239" s="155">
        <f t="shared" si="74"/>
        <v>29520</v>
      </c>
      <c r="N239" s="155">
        <f t="shared" si="74"/>
        <v>68760</v>
      </c>
      <c r="O239" s="155">
        <f t="shared" si="74"/>
        <v>68760</v>
      </c>
      <c r="P239" s="286">
        <f t="shared" si="74"/>
        <v>46080</v>
      </c>
      <c r="Q239" s="86">
        <f t="shared" si="73"/>
        <v>741153.25</v>
      </c>
    </row>
    <row r="240" spans="1:17" s="24" customFormat="1" ht="12.75">
      <c r="A240" s="391"/>
      <c r="B240" s="471"/>
      <c r="C240" s="128" t="s">
        <v>3</v>
      </c>
      <c r="D240" s="202">
        <f>+D238</f>
        <v>56861.17</v>
      </c>
      <c r="E240" s="202">
        <f aca="true" t="shared" si="75" ref="E240:P240">+E238</f>
        <v>56478.35</v>
      </c>
      <c r="F240" s="202">
        <f t="shared" si="75"/>
        <v>42276.15</v>
      </c>
      <c r="G240" s="202">
        <f t="shared" si="75"/>
        <v>56040.34</v>
      </c>
      <c r="H240" s="202">
        <f t="shared" si="75"/>
        <v>58821.05</v>
      </c>
      <c r="I240" s="202">
        <f t="shared" si="75"/>
        <v>57838.51</v>
      </c>
      <c r="J240" s="202">
        <f t="shared" si="75"/>
        <v>58092.01</v>
      </c>
      <c r="K240" s="202">
        <f t="shared" si="75"/>
        <v>76693.7</v>
      </c>
      <c r="L240" s="202">
        <f t="shared" si="75"/>
        <v>68064.36</v>
      </c>
      <c r="M240" s="202">
        <f t="shared" si="75"/>
        <v>29405.19</v>
      </c>
      <c r="N240" s="202">
        <f t="shared" si="75"/>
        <v>68970.55</v>
      </c>
      <c r="O240" s="202">
        <f t="shared" si="75"/>
        <v>69739.92</v>
      </c>
      <c r="P240" s="287">
        <f t="shared" si="75"/>
        <v>46041.7</v>
      </c>
      <c r="Q240" s="86">
        <f t="shared" si="73"/>
        <v>745323</v>
      </c>
    </row>
    <row r="241" spans="1:17" s="3" customFormat="1" ht="13.5" thickBot="1">
      <c r="A241" s="392"/>
      <c r="B241" s="472"/>
      <c r="C241" s="140" t="s">
        <v>199</v>
      </c>
      <c r="D241" s="70">
        <f aca="true" t="shared" si="76" ref="D241:P241">D236+D237-D238</f>
        <v>4910.029999999999</v>
      </c>
      <c r="E241" s="70">
        <f t="shared" si="76"/>
        <v>11181.220000000008</v>
      </c>
      <c r="F241" s="70">
        <f t="shared" si="76"/>
        <v>13461.049999999996</v>
      </c>
      <c r="G241" s="70">
        <f>G236+G237-G238</f>
        <v>5013.990000000005</v>
      </c>
      <c r="H241" s="70">
        <f t="shared" si="76"/>
        <v>8408.169999999998</v>
      </c>
      <c r="I241" s="70">
        <f t="shared" si="76"/>
        <v>4708.199999999997</v>
      </c>
      <c r="J241" s="70">
        <f t="shared" si="76"/>
        <v>10531.719999999994</v>
      </c>
      <c r="K241" s="70">
        <f t="shared" si="76"/>
        <v>6299.330000000002</v>
      </c>
      <c r="L241" s="70">
        <f t="shared" si="76"/>
        <v>10054.919999999998</v>
      </c>
      <c r="M241" s="70">
        <f t="shared" si="76"/>
        <v>2221.41</v>
      </c>
      <c r="N241" s="70">
        <f t="shared" si="76"/>
        <v>10381</v>
      </c>
      <c r="O241" s="70">
        <f t="shared" si="76"/>
        <v>11864.37000000001</v>
      </c>
      <c r="P241" s="180">
        <f t="shared" si="76"/>
        <v>8613.260000000002</v>
      </c>
      <c r="Q241" s="75">
        <f t="shared" si="73"/>
        <v>107648.67000000001</v>
      </c>
    </row>
    <row r="242" spans="1:17" s="24" customFormat="1" ht="12.75">
      <c r="A242" s="393" t="s">
        <v>190</v>
      </c>
      <c r="B242" s="393"/>
      <c r="C242" s="376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294"/>
      <c r="Q242" s="359"/>
    </row>
    <row r="243" spans="1:17" s="24" customFormat="1" ht="12.75">
      <c r="A243" s="377"/>
      <c r="B243" s="377"/>
      <c r="C243" s="131" t="s">
        <v>175</v>
      </c>
      <c r="D243" s="116">
        <f aca="true" t="shared" si="77" ref="D243:Q243">D194+D200+D224+D230+D236+D206+D212+D218</f>
        <v>8244.3</v>
      </c>
      <c r="E243" s="116">
        <f t="shared" si="77"/>
        <v>11970.279999999999</v>
      </c>
      <c r="F243" s="116">
        <f t="shared" si="77"/>
        <v>20311.36</v>
      </c>
      <c r="G243" s="116">
        <f t="shared" si="77"/>
        <v>5704.85</v>
      </c>
      <c r="H243" s="116">
        <f t="shared" si="77"/>
        <v>12238.17</v>
      </c>
      <c r="I243" s="116">
        <f t="shared" si="77"/>
        <v>7125.5</v>
      </c>
      <c r="J243" s="116">
        <f t="shared" si="77"/>
        <v>13084.58</v>
      </c>
      <c r="K243" s="116">
        <f t="shared" si="77"/>
        <v>51672.240000000005</v>
      </c>
      <c r="L243" s="116">
        <f t="shared" si="77"/>
        <v>60517.3</v>
      </c>
      <c r="M243" s="116">
        <f t="shared" si="77"/>
        <v>4846.889999999999</v>
      </c>
      <c r="N243" s="116">
        <f t="shared" si="77"/>
        <v>12073.07</v>
      </c>
      <c r="O243" s="116">
        <f t="shared" si="77"/>
        <v>10173.04</v>
      </c>
      <c r="P243" s="295">
        <f t="shared" si="77"/>
        <v>13183.519999999999</v>
      </c>
      <c r="Q243" s="122">
        <f t="shared" si="77"/>
        <v>231145.10000000003</v>
      </c>
    </row>
    <row r="244" spans="1:17" s="24" customFormat="1" ht="12.75">
      <c r="A244" s="377"/>
      <c r="B244" s="377"/>
      <c r="C244" s="132" t="s">
        <v>1</v>
      </c>
      <c r="D244" s="116">
        <f aca="true" t="shared" si="78" ref="D244:Q244">D195+D201+D225+D231+D237+D207+D213+D219</f>
        <v>79665.97</v>
      </c>
      <c r="E244" s="116">
        <f t="shared" si="78"/>
        <v>80685</v>
      </c>
      <c r="F244" s="116">
        <f t="shared" si="78"/>
        <v>83220</v>
      </c>
      <c r="G244" s="116">
        <f t="shared" si="78"/>
        <v>78067.17</v>
      </c>
      <c r="H244" s="116">
        <f t="shared" si="78"/>
        <v>76866.44</v>
      </c>
      <c r="I244" s="116">
        <f t="shared" si="78"/>
        <v>78289.16</v>
      </c>
      <c r="J244" s="116">
        <f t="shared" si="78"/>
        <v>79778.37</v>
      </c>
      <c r="K244" s="116">
        <f t="shared" si="78"/>
        <v>512393.0399999999</v>
      </c>
      <c r="L244" s="116">
        <f t="shared" si="78"/>
        <v>395960.18</v>
      </c>
      <c r="M244" s="116">
        <f t="shared" si="78"/>
        <v>55482.18</v>
      </c>
      <c r="N244" s="116">
        <f t="shared" si="78"/>
        <v>87750</v>
      </c>
      <c r="O244" s="116">
        <f t="shared" si="78"/>
        <v>68760</v>
      </c>
      <c r="P244" s="295">
        <f t="shared" si="78"/>
        <v>65475</v>
      </c>
      <c r="Q244" s="122">
        <f t="shared" si="78"/>
        <v>1742392.5099999998</v>
      </c>
    </row>
    <row r="245" spans="1:18" s="24" customFormat="1" ht="12.75">
      <c r="A245" s="377"/>
      <c r="B245" s="377"/>
      <c r="C245" s="132" t="s">
        <v>2</v>
      </c>
      <c r="D245" s="116">
        <f aca="true" t="shared" si="79" ref="D245:Q245">D196+D202+D226+D232+D238+D208+D214+D220</f>
        <v>80960.67</v>
      </c>
      <c r="E245" s="116">
        <f t="shared" si="79"/>
        <v>79201.8</v>
      </c>
      <c r="F245" s="116">
        <f t="shared" si="79"/>
        <v>82592.48999999999</v>
      </c>
      <c r="G245" s="116">
        <f t="shared" si="79"/>
        <v>76790.97</v>
      </c>
      <c r="H245" s="116">
        <f t="shared" si="79"/>
        <v>79335.33</v>
      </c>
      <c r="I245" s="116">
        <f t="shared" si="79"/>
        <v>80123.72</v>
      </c>
      <c r="J245" s="116">
        <f t="shared" si="79"/>
        <v>80540.97</v>
      </c>
      <c r="K245" s="116">
        <f t="shared" si="79"/>
        <v>531630.85</v>
      </c>
      <c r="L245" s="116">
        <f t="shared" si="79"/>
        <v>394172.04999999993</v>
      </c>
      <c r="M245" s="116">
        <f t="shared" si="79"/>
        <v>56204.31999999999</v>
      </c>
      <c r="N245" s="116">
        <f t="shared" si="79"/>
        <v>87851.44</v>
      </c>
      <c r="O245" s="116">
        <f t="shared" si="79"/>
        <v>69740.38</v>
      </c>
      <c r="P245" s="295">
        <f t="shared" si="79"/>
        <v>65705.64</v>
      </c>
      <c r="Q245" s="122">
        <f t="shared" si="79"/>
        <v>1764850.63</v>
      </c>
      <c r="R245" s="28"/>
    </row>
    <row r="246" spans="1:17" s="24" customFormat="1" ht="12.75">
      <c r="A246" s="377"/>
      <c r="B246" s="377"/>
      <c r="C246" s="132" t="s">
        <v>4</v>
      </c>
      <c r="D246" s="116">
        <f aca="true" t="shared" si="80" ref="D246:Q246">D197+D203+D227+D233+D239+D209+D215+D221</f>
        <v>79665.97</v>
      </c>
      <c r="E246" s="116">
        <f t="shared" si="80"/>
        <v>80685</v>
      </c>
      <c r="F246" s="116">
        <f t="shared" si="80"/>
        <v>83220</v>
      </c>
      <c r="G246" s="116">
        <f t="shared" si="80"/>
        <v>78067.17</v>
      </c>
      <c r="H246" s="116">
        <f t="shared" si="80"/>
        <v>76866.44</v>
      </c>
      <c r="I246" s="116">
        <f t="shared" si="80"/>
        <v>78289.16</v>
      </c>
      <c r="J246" s="116">
        <f t="shared" si="80"/>
        <v>79778.37</v>
      </c>
      <c r="K246" s="116">
        <f t="shared" si="80"/>
        <v>512393.0399999999</v>
      </c>
      <c r="L246" s="116">
        <f t="shared" si="80"/>
        <v>395960.18</v>
      </c>
      <c r="M246" s="116">
        <f t="shared" si="80"/>
        <v>55482.18</v>
      </c>
      <c r="N246" s="116">
        <f t="shared" si="80"/>
        <v>87750</v>
      </c>
      <c r="O246" s="116">
        <f t="shared" si="80"/>
        <v>68760</v>
      </c>
      <c r="P246" s="295">
        <f t="shared" si="80"/>
        <v>65475</v>
      </c>
      <c r="Q246" s="122">
        <f t="shared" si="80"/>
        <v>1742392.5099999998</v>
      </c>
    </row>
    <row r="247" spans="1:17" s="24" customFormat="1" ht="12.75">
      <c r="A247" s="377"/>
      <c r="B247" s="377"/>
      <c r="C247" s="132" t="s">
        <v>3</v>
      </c>
      <c r="D247" s="116">
        <f aca="true" t="shared" si="81" ref="D247:Q247">D198+D204+D228+D234+D240+D210+D216+D222</f>
        <v>80960.67</v>
      </c>
      <c r="E247" s="116">
        <f t="shared" si="81"/>
        <v>79201.8</v>
      </c>
      <c r="F247" s="116">
        <f t="shared" si="81"/>
        <v>82592.48999999999</v>
      </c>
      <c r="G247" s="116">
        <f t="shared" si="81"/>
        <v>76790.97</v>
      </c>
      <c r="H247" s="116">
        <f t="shared" si="81"/>
        <v>79335.33</v>
      </c>
      <c r="I247" s="116">
        <f t="shared" si="81"/>
        <v>80123.72</v>
      </c>
      <c r="J247" s="116">
        <f t="shared" si="81"/>
        <v>80540.97</v>
      </c>
      <c r="K247" s="116">
        <f t="shared" si="81"/>
        <v>531630.85</v>
      </c>
      <c r="L247" s="116">
        <f t="shared" si="81"/>
        <v>394172.04999999993</v>
      </c>
      <c r="M247" s="116">
        <f t="shared" si="81"/>
        <v>56204.31999999999</v>
      </c>
      <c r="N247" s="116">
        <f t="shared" si="81"/>
        <v>87851.44</v>
      </c>
      <c r="O247" s="116">
        <f t="shared" si="81"/>
        <v>69740.38</v>
      </c>
      <c r="P247" s="295">
        <f t="shared" si="81"/>
        <v>65705.64</v>
      </c>
      <c r="Q247" s="122">
        <f t="shared" si="81"/>
        <v>1764850.63</v>
      </c>
    </row>
    <row r="248" spans="1:17" s="3" customFormat="1" ht="12.75">
      <c r="A248" s="377"/>
      <c r="B248" s="377"/>
      <c r="C248" s="194" t="s">
        <v>199</v>
      </c>
      <c r="D248" s="195">
        <f aca="true" t="shared" si="82" ref="D248:Q248">D199+D205+D229+D235+D241+D211+D217+D223</f>
        <v>6949.5999999999985</v>
      </c>
      <c r="E248" s="195">
        <f t="shared" si="82"/>
        <v>13453.480000000009</v>
      </c>
      <c r="F248" s="195">
        <f t="shared" si="82"/>
        <v>20938.869999999995</v>
      </c>
      <c r="G248" s="195">
        <f t="shared" si="82"/>
        <v>6981.050000000007</v>
      </c>
      <c r="H248" s="195">
        <f t="shared" si="82"/>
        <v>9769.279999999999</v>
      </c>
      <c r="I248" s="195">
        <f t="shared" si="82"/>
        <v>5290.939999999999</v>
      </c>
      <c r="J248" s="195">
        <f t="shared" si="82"/>
        <v>12321.979999999992</v>
      </c>
      <c r="K248" s="195">
        <f t="shared" si="82"/>
        <v>32434.429999999953</v>
      </c>
      <c r="L248" s="195">
        <f t="shared" si="82"/>
        <v>62305.43000000003</v>
      </c>
      <c r="M248" s="195">
        <f t="shared" si="82"/>
        <v>4124.750000000002</v>
      </c>
      <c r="N248" s="195">
        <f t="shared" si="82"/>
        <v>11971.63</v>
      </c>
      <c r="O248" s="195">
        <f t="shared" si="82"/>
        <v>9192.66000000001</v>
      </c>
      <c r="P248" s="304">
        <f t="shared" si="82"/>
        <v>12952.880000000005</v>
      </c>
      <c r="Q248" s="123">
        <f t="shared" si="82"/>
        <v>208686.98</v>
      </c>
    </row>
    <row r="249" spans="1:17" s="24" customFormat="1" ht="13.5" thickBot="1">
      <c r="A249" s="465" t="s">
        <v>192</v>
      </c>
      <c r="B249" s="465"/>
      <c r="C249" s="519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305"/>
      <c r="Q249" s="360"/>
    </row>
    <row r="250" spans="1:17" s="24" customFormat="1" ht="12.75">
      <c r="A250" s="518"/>
      <c r="B250" s="518"/>
      <c r="C250" s="204" t="s">
        <v>175</v>
      </c>
      <c r="D250" s="124">
        <f aca="true" t="shared" si="83" ref="D250:M254">D243+D188+D91</f>
        <v>707473.51</v>
      </c>
      <c r="E250" s="124">
        <f t="shared" si="83"/>
        <v>1476221.9899999998</v>
      </c>
      <c r="F250" s="124">
        <f t="shared" si="83"/>
        <v>1351878.84</v>
      </c>
      <c r="G250" s="124">
        <f t="shared" si="83"/>
        <v>515260.6</v>
      </c>
      <c r="H250" s="124">
        <f t="shared" si="83"/>
        <v>1245930.74</v>
      </c>
      <c r="I250" s="124">
        <f t="shared" si="83"/>
        <v>759028.69</v>
      </c>
      <c r="J250" s="124">
        <f t="shared" si="83"/>
        <v>1036353.9000000001</v>
      </c>
      <c r="K250" s="124">
        <f t="shared" si="83"/>
        <v>943784.71</v>
      </c>
      <c r="L250" s="124">
        <f t="shared" si="83"/>
        <v>1099812.9800000002</v>
      </c>
      <c r="M250" s="124">
        <f t="shared" si="83"/>
        <v>389998.23</v>
      </c>
      <c r="N250" s="124">
        <f>N243+N188+N91</f>
        <v>1029556.99</v>
      </c>
      <c r="O250" s="124">
        <f>O243+O188+O91</f>
        <v>1243676.57</v>
      </c>
      <c r="P250" s="294">
        <f>P243+P188+P91</f>
        <v>927109.7000000001</v>
      </c>
      <c r="Q250" s="117">
        <f>Q243+Q188+Q91</f>
        <v>12726087.450000001</v>
      </c>
    </row>
    <row r="251" spans="1:17" s="24" customFormat="1" ht="12.75">
      <c r="A251" s="377"/>
      <c r="B251" s="377"/>
      <c r="C251" s="132" t="s">
        <v>1</v>
      </c>
      <c r="D251" s="116">
        <f t="shared" si="83"/>
        <v>5825035.49</v>
      </c>
      <c r="E251" s="116">
        <f t="shared" si="83"/>
        <v>6311019.46</v>
      </c>
      <c r="F251" s="116">
        <f t="shared" si="83"/>
        <v>5913363.210000001</v>
      </c>
      <c r="G251" s="116">
        <f t="shared" si="83"/>
        <v>5435491.619999999</v>
      </c>
      <c r="H251" s="116">
        <f t="shared" si="83"/>
        <v>5447546.350000001</v>
      </c>
      <c r="I251" s="116">
        <f t="shared" si="83"/>
        <v>5881779.600000001</v>
      </c>
      <c r="J251" s="116">
        <f t="shared" si="83"/>
        <v>5973032.869999999</v>
      </c>
      <c r="K251" s="116">
        <f t="shared" si="83"/>
        <v>9377511.35</v>
      </c>
      <c r="L251" s="116">
        <f t="shared" si="83"/>
        <v>6041166.460000001</v>
      </c>
      <c r="M251" s="116">
        <f t="shared" si="83"/>
        <v>4111613.999999999</v>
      </c>
      <c r="N251" s="116">
        <f aca="true" t="shared" si="84" ref="N251:Q254">N244+N189+N92</f>
        <v>6614943.999999999</v>
      </c>
      <c r="O251" s="116">
        <f t="shared" si="84"/>
        <v>6350317.390000001</v>
      </c>
      <c r="P251" s="295">
        <f t="shared" si="84"/>
        <v>4660110.37</v>
      </c>
      <c r="Q251" s="122">
        <f t="shared" si="84"/>
        <v>77942932.17</v>
      </c>
    </row>
    <row r="252" spans="1:17" s="24" customFormat="1" ht="12.75">
      <c r="A252" s="377"/>
      <c r="B252" s="377"/>
      <c r="C252" s="132" t="s">
        <v>2</v>
      </c>
      <c r="D252" s="116">
        <f t="shared" si="83"/>
        <v>5848321.880000001</v>
      </c>
      <c r="E252" s="116">
        <f t="shared" si="83"/>
        <v>6039218.450000001</v>
      </c>
      <c r="F252" s="116">
        <f t="shared" si="83"/>
        <v>5687276.3100000005</v>
      </c>
      <c r="G252" s="116">
        <f t="shared" si="83"/>
        <v>5712352.850000001</v>
      </c>
      <c r="H252" s="116">
        <f t="shared" si="83"/>
        <v>6102413.83</v>
      </c>
      <c r="I252" s="116">
        <f t="shared" si="83"/>
        <v>5913114.2700000005</v>
      </c>
      <c r="J252" s="116">
        <f t="shared" si="83"/>
        <v>5840036.720000001</v>
      </c>
      <c r="K252" s="116">
        <f t="shared" si="83"/>
        <v>9326509.940000001</v>
      </c>
      <c r="L252" s="116">
        <f t="shared" si="83"/>
        <v>6849694.93</v>
      </c>
      <c r="M252" s="116">
        <f t="shared" si="83"/>
        <v>4211737.47</v>
      </c>
      <c r="N252" s="116">
        <f t="shared" si="84"/>
        <v>6792217.11</v>
      </c>
      <c r="O252" s="116">
        <f t="shared" si="84"/>
        <v>6662509.390000001</v>
      </c>
      <c r="P252" s="295">
        <f t="shared" si="84"/>
        <v>4644141.460000001</v>
      </c>
      <c r="Q252" s="122">
        <f t="shared" si="84"/>
        <v>79629544.61000001</v>
      </c>
    </row>
    <row r="253" spans="1:17" s="24" customFormat="1" ht="12.75">
      <c r="A253" s="377"/>
      <c r="B253" s="377"/>
      <c r="C253" s="132" t="s">
        <v>4</v>
      </c>
      <c r="D253" s="116">
        <f t="shared" si="83"/>
        <v>5547903.14</v>
      </c>
      <c r="E253" s="116">
        <f t="shared" si="83"/>
        <v>6651399.779999999</v>
      </c>
      <c r="F253" s="116">
        <f t="shared" si="83"/>
        <v>5824884.68</v>
      </c>
      <c r="G253" s="116">
        <f t="shared" si="83"/>
        <v>5092238.3</v>
      </c>
      <c r="H253" s="116">
        <f t="shared" si="83"/>
        <v>5877924.600000001</v>
      </c>
      <c r="I253" s="116">
        <f t="shared" si="83"/>
        <v>5700693.050000001</v>
      </c>
      <c r="J253" s="116">
        <f t="shared" si="83"/>
        <v>5667537.529999999</v>
      </c>
      <c r="K253" s="116">
        <f t="shared" si="83"/>
        <v>9084350.639999999</v>
      </c>
      <c r="L253" s="116">
        <f t="shared" si="83"/>
        <v>5934260.790000001</v>
      </c>
      <c r="M253" s="116">
        <f t="shared" si="83"/>
        <v>3884167.3299999996</v>
      </c>
      <c r="N253" s="116">
        <f t="shared" si="84"/>
        <v>6289876.279999999</v>
      </c>
      <c r="O253" s="116">
        <f t="shared" si="84"/>
        <v>6052495.84</v>
      </c>
      <c r="P253" s="295">
        <f t="shared" si="84"/>
        <v>4512884.33</v>
      </c>
      <c r="Q253" s="122">
        <f t="shared" si="84"/>
        <v>76120616.28999999</v>
      </c>
    </row>
    <row r="254" spans="1:17" s="24" customFormat="1" ht="12.75">
      <c r="A254" s="377"/>
      <c r="B254" s="377"/>
      <c r="C254" s="132" t="s">
        <v>3</v>
      </c>
      <c r="D254" s="116">
        <f t="shared" si="83"/>
        <v>5848321.880000001</v>
      </c>
      <c r="E254" s="116">
        <f t="shared" si="83"/>
        <v>6039218.450000001</v>
      </c>
      <c r="F254" s="116">
        <f t="shared" si="83"/>
        <v>5687276.3100000005</v>
      </c>
      <c r="G254" s="116">
        <f t="shared" si="83"/>
        <v>5712352.850000001</v>
      </c>
      <c r="H254" s="116">
        <f t="shared" si="83"/>
        <v>6102413.83</v>
      </c>
      <c r="I254" s="116">
        <f t="shared" si="83"/>
        <v>5913114.27</v>
      </c>
      <c r="J254" s="116">
        <f t="shared" si="83"/>
        <v>5840036.72</v>
      </c>
      <c r="K254" s="116">
        <f t="shared" si="83"/>
        <v>9326509.940000001</v>
      </c>
      <c r="L254" s="116">
        <f t="shared" si="83"/>
        <v>6849694.93</v>
      </c>
      <c r="M254" s="116">
        <f t="shared" si="83"/>
        <v>4211737.47</v>
      </c>
      <c r="N254" s="116">
        <f t="shared" si="84"/>
        <v>6792217.11</v>
      </c>
      <c r="O254" s="116">
        <f t="shared" si="84"/>
        <v>6662509.390000001</v>
      </c>
      <c r="P254" s="295">
        <f t="shared" si="84"/>
        <v>4644141.460000001</v>
      </c>
      <c r="Q254" s="122">
        <f t="shared" si="84"/>
        <v>79629544.61</v>
      </c>
    </row>
    <row r="255" spans="1:17" s="3" customFormat="1" ht="13.5" thickBot="1">
      <c r="A255" s="378"/>
      <c r="B255" s="378"/>
      <c r="C255" s="148" t="s">
        <v>199</v>
      </c>
      <c r="D255" s="126">
        <f aca="true" t="shared" si="85" ref="D255:M255">D250+D251-D252</f>
        <v>684187.1199999992</v>
      </c>
      <c r="E255" s="126">
        <f t="shared" si="85"/>
        <v>1748022.9999999981</v>
      </c>
      <c r="F255" s="126">
        <f t="shared" si="85"/>
        <v>1577965.7400000002</v>
      </c>
      <c r="G255" s="126">
        <f t="shared" si="85"/>
        <v>238399.36999999825</v>
      </c>
      <c r="H255" s="126">
        <f t="shared" si="85"/>
        <v>591063.2600000007</v>
      </c>
      <c r="I255" s="126">
        <f t="shared" si="85"/>
        <v>727694.0200000005</v>
      </c>
      <c r="J255" s="126">
        <f t="shared" si="85"/>
        <v>1169350.0499999989</v>
      </c>
      <c r="K255" s="126">
        <f t="shared" si="85"/>
        <v>994786.1199999973</v>
      </c>
      <c r="L255" s="126">
        <f t="shared" si="85"/>
        <v>291284.51000000164</v>
      </c>
      <c r="M255" s="126">
        <f t="shared" si="85"/>
        <v>289874.75999999885</v>
      </c>
      <c r="N255" s="126">
        <f>N250+N251-N252</f>
        <v>852283.879999999</v>
      </c>
      <c r="O255" s="126">
        <f>O250+O251-O252</f>
        <v>931484.5700000003</v>
      </c>
      <c r="P255" s="296">
        <f>P250+P251-P252</f>
        <v>943078.6099999994</v>
      </c>
      <c r="Q255" s="170">
        <f>Q250+Q251-Q252</f>
        <v>11039475.00999999</v>
      </c>
    </row>
    <row r="256" ht="12.75">
      <c r="E256" s="210"/>
    </row>
  </sheetData>
  <sheetProtection/>
  <mergeCells count="71">
    <mergeCell ref="A1:Q1"/>
    <mergeCell ref="A2:Q2"/>
    <mergeCell ref="A24:A41"/>
    <mergeCell ref="B24:B29"/>
    <mergeCell ref="Q3:Q4"/>
    <mergeCell ref="A3:B5"/>
    <mergeCell ref="D3:P3"/>
    <mergeCell ref="C3:C4"/>
    <mergeCell ref="A54:A65"/>
    <mergeCell ref="A6:A23"/>
    <mergeCell ref="B6:B11"/>
    <mergeCell ref="B18:B23"/>
    <mergeCell ref="B36:B41"/>
    <mergeCell ref="B12:B17"/>
    <mergeCell ref="B42:B47"/>
    <mergeCell ref="B30:B35"/>
    <mergeCell ref="B60:B65"/>
    <mergeCell ref="A42:A53"/>
    <mergeCell ref="A133:A138"/>
    <mergeCell ref="A145:A150"/>
    <mergeCell ref="A151:A168"/>
    <mergeCell ref="B151:B156"/>
    <mergeCell ref="B133:B138"/>
    <mergeCell ref="A139:A144"/>
    <mergeCell ref="B145:B150"/>
    <mergeCell ref="A187:C187"/>
    <mergeCell ref="B157:B162"/>
    <mergeCell ref="B163:B168"/>
    <mergeCell ref="B169:B174"/>
    <mergeCell ref="A169:A180"/>
    <mergeCell ref="A224:A229"/>
    <mergeCell ref="A250:B255"/>
    <mergeCell ref="A249:C249"/>
    <mergeCell ref="B236:B241"/>
    <mergeCell ref="A236:A241"/>
    <mergeCell ref="B224:B229"/>
    <mergeCell ref="B200:B205"/>
    <mergeCell ref="B78:B83"/>
    <mergeCell ref="A243:B248"/>
    <mergeCell ref="A188:B193"/>
    <mergeCell ref="A242:C242"/>
    <mergeCell ref="A230:A235"/>
    <mergeCell ref="B139:B144"/>
    <mergeCell ref="B230:B235"/>
    <mergeCell ref="B181:B186"/>
    <mergeCell ref="B175:B180"/>
    <mergeCell ref="A91:B96"/>
    <mergeCell ref="A66:A89"/>
    <mergeCell ref="B127:B132"/>
    <mergeCell ref="B121:B126"/>
    <mergeCell ref="B66:B71"/>
    <mergeCell ref="B48:B53"/>
    <mergeCell ref="B72:B77"/>
    <mergeCell ref="A90:C90"/>
    <mergeCell ref="A97:A132"/>
    <mergeCell ref="B54:B59"/>
    <mergeCell ref="B115:B120"/>
    <mergeCell ref="B97:B102"/>
    <mergeCell ref="B103:B108"/>
    <mergeCell ref="B109:B114"/>
    <mergeCell ref="B84:B89"/>
    <mergeCell ref="B218:B223"/>
    <mergeCell ref="A181:A186"/>
    <mergeCell ref="A194:A199"/>
    <mergeCell ref="B194:B199"/>
    <mergeCell ref="B212:B217"/>
    <mergeCell ref="A212:A217"/>
    <mergeCell ref="B206:B211"/>
    <mergeCell ref="A206:A211"/>
    <mergeCell ref="A200:A205"/>
    <mergeCell ref="A218:A223"/>
  </mergeCells>
  <printOptions/>
  <pageMargins left="0.15748031496062992" right="0.1968503937007874" top="0.15748031496062992" bottom="0.1968503937007874" header="0.15748031496062992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Губинский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Техник</dc:creator>
  <cp:keywords/>
  <dc:description/>
  <cp:lastModifiedBy>User</cp:lastModifiedBy>
  <cp:lastPrinted>2019-03-15T02:33:43Z</cp:lastPrinted>
  <dcterms:created xsi:type="dcterms:W3CDTF">2010-01-22T08:23:34Z</dcterms:created>
  <dcterms:modified xsi:type="dcterms:W3CDTF">2019-03-21T06:22:15Z</dcterms:modified>
  <cp:category/>
  <cp:version/>
  <cp:contentType/>
  <cp:contentStatus/>
</cp:coreProperties>
</file>