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606" activeTab="0"/>
  </bookViews>
  <sheets>
    <sheet name="202 кв" sheetId="1" r:id="rId1"/>
  </sheets>
  <definedNames/>
  <calcPr fullCalcOnLoad="1"/>
</workbook>
</file>

<file path=xl/sharedStrings.xml><?xml version="1.0" encoding="utf-8"?>
<sst xmlns="http://schemas.openxmlformats.org/spreadsheetml/2006/main" count="292" uniqueCount="85">
  <si>
    <t>Адреса домов</t>
  </si>
  <si>
    <t>Начислено населению</t>
  </si>
  <si>
    <t>Оплачено населением</t>
  </si>
  <si>
    <t>Перечислено поставщику</t>
  </si>
  <si>
    <t>Выполнено поставщиком</t>
  </si>
  <si>
    <t>Водоканал</t>
  </si>
  <si>
    <t>Канализация</t>
  </si>
  <si>
    <t>Хол. Вода</t>
  </si>
  <si>
    <t>руб</t>
  </si>
  <si>
    <t>Отопление</t>
  </si>
  <si>
    <t>Энергосбыт</t>
  </si>
  <si>
    <t>Гор. Вода</t>
  </si>
  <si>
    <t>Сахатранснефтнгаз</t>
  </si>
  <si>
    <t>Газ</t>
  </si>
  <si>
    <t>ВДГО</t>
  </si>
  <si>
    <t>Вывоз мусора</t>
  </si>
  <si>
    <t>Авангард</t>
  </si>
  <si>
    <t>Содер. дв.тер.</t>
  </si>
  <si>
    <t>Уборк.л/кл.</t>
  </si>
  <si>
    <t>ПКФ Мега-плюс</t>
  </si>
  <si>
    <t>Тех.эл/оборуд</t>
  </si>
  <si>
    <t>Радио</t>
  </si>
  <si>
    <t>РСК "Стерх"</t>
  </si>
  <si>
    <t>Домофон</t>
  </si>
  <si>
    <t>№ п/п</t>
  </si>
  <si>
    <t>ЗАО Домофон серфис</t>
  </si>
  <si>
    <t>ЗАО Лифтремонт</t>
  </si>
  <si>
    <t>Тех.обслуживание лифтов</t>
  </si>
  <si>
    <t>ООО Дом-Строй</t>
  </si>
  <si>
    <t>ООО Компания Визит</t>
  </si>
  <si>
    <t>Управ.домом</t>
  </si>
  <si>
    <t>Тех.обслуж</t>
  </si>
  <si>
    <t>Виды услуг и постав    щики</t>
  </si>
  <si>
    <t>ФГУП РТРС РТПЦ</t>
  </si>
  <si>
    <t>Ресурс-контроль</t>
  </si>
  <si>
    <t>Всего по 202 кварталу</t>
  </si>
  <si>
    <t>"ЖКХ Губинский"</t>
  </si>
  <si>
    <t>установка прибора учета</t>
  </si>
  <si>
    <t>Хол. Вода на ОДН</t>
  </si>
  <si>
    <t>Гор. Вода на Одн</t>
  </si>
  <si>
    <t>Э/эн на ОДН</t>
  </si>
  <si>
    <t>Гор. Вода на ОДН</t>
  </si>
  <si>
    <t>Утилиз ртуть содерж ламп</t>
  </si>
  <si>
    <t>ИП Яковлев Ю.П</t>
  </si>
  <si>
    <t>Тех обслуж ОПУ ТЭ</t>
  </si>
  <si>
    <t>Тех обслуж ОПУ ХВС</t>
  </si>
  <si>
    <t>Экспоцентр</t>
  </si>
  <si>
    <t>Эл/лифт на ОДН</t>
  </si>
  <si>
    <t>Якуттеплогаз</t>
  </si>
  <si>
    <t>Тех обслуж ОПУ, ГВС</t>
  </si>
  <si>
    <t>ООО Алекс</t>
  </si>
  <si>
    <t>Микрорайон 202</t>
  </si>
  <si>
    <t>Итого коммунальные услуги:</t>
  </si>
  <si>
    <t>Освидетельствование лифтов</t>
  </si>
  <si>
    <t>Страхование лифтов</t>
  </si>
  <si>
    <t>Итого жилищные услуги:</t>
  </si>
  <si>
    <t>Итого прочие услуги:</t>
  </si>
  <si>
    <t>Итого Все услуги:</t>
  </si>
  <si>
    <t>202 -  11</t>
  </si>
  <si>
    <t>202 -  12</t>
  </si>
  <si>
    <t>202 -  13</t>
  </si>
  <si>
    <t>202 -  14/1</t>
  </si>
  <si>
    <t>202 -  14/2</t>
  </si>
  <si>
    <t>202 -  15</t>
  </si>
  <si>
    <t>202 -  16/1</t>
  </si>
  <si>
    <t>202 -  16/2</t>
  </si>
  <si>
    <t>202 -  17</t>
  </si>
  <si>
    <t>202 -  18</t>
  </si>
  <si>
    <t>202 -  18/1</t>
  </si>
  <si>
    <t>202 -  19</t>
  </si>
  <si>
    <t>202 -  25</t>
  </si>
  <si>
    <t>202 -  25/1</t>
  </si>
  <si>
    <t>202 - 25/2</t>
  </si>
  <si>
    <t>202 - 3</t>
  </si>
  <si>
    <t>202 - 4</t>
  </si>
  <si>
    <t>202 - 5</t>
  </si>
  <si>
    <t>202 - 6</t>
  </si>
  <si>
    <t>202 - 7</t>
  </si>
  <si>
    <t>202 - 8</t>
  </si>
  <si>
    <t>202 - 1</t>
  </si>
  <si>
    <t>202 - 10</t>
  </si>
  <si>
    <t>ОТЧЕТ УК "ЖКХ Губинский" за 2018 год</t>
  </si>
  <si>
    <t>Долг на 01.01.19г.</t>
  </si>
  <si>
    <t>Долг на 01.01.19 г.</t>
  </si>
  <si>
    <t>Долг на 01.01.18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</si>
</sst>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_-* #,##0.00000_р_._-;\-* #,##0.00000_р_._-;_-* &quot;-&quot;??_р_._-;_-@_-"/>
    <numFmt numFmtId="179" formatCode="_-* #,##0.000000_р_._-;\-* #,##0.000000_р_._-;_-* &quot;-&quot;??_р_._-;_-@_-"/>
    <numFmt numFmtId="180" formatCode="#,##0_ ;\-#,##0\ "/>
    <numFmt numFmtId="181" formatCode="#,##0.00_ ;\-#,##0.00\ "/>
  </numFmts>
  <fonts count="2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2"/>
    </font>
    <font>
      <b/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>
      <alignment horizontal="center" vertical="center"/>
      <protection/>
    </xf>
    <xf numFmtId="0" fontId="8" fillId="16" borderId="0">
      <alignment horizontal="center" vertical="center"/>
      <protection/>
    </xf>
    <xf numFmtId="0" fontId="3" fillId="16" borderId="0">
      <alignment horizontal="center" vertical="center"/>
      <protection/>
    </xf>
    <xf numFmtId="0" fontId="3" fillId="16" borderId="0">
      <alignment horizontal="center" vertical="center"/>
      <protection/>
    </xf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0" borderId="0" applyNumberFormat="0" applyBorder="0" applyAlignment="0" applyProtection="0"/>
    <xf numFmtId="0" fontId="9" fillId="7" borderId="1" applyNumberFormat="0" applyAlignment="0" applyProtection="0"/>
    <xf numFmtId="0" fontId="10" fillId="21" borderId="2" applyNumberFormat="0" applyAlignment="0" applyProtection="0"/>
    <xf numFmtId="0" fontId="1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2" borderId="7" applyNumberFormat="0" applyAlignment="0" applyProtection="0"/>
    <xf numFmtId="0" fontId="17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4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Alignment="1">
      <alignment/>
    </xf>
    <xf numFmtId="0" fontId="2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7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" fillId="7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2" fillId="16" borderId="0" xfId="0" applyFont="1" applyFill="1" applyAlignment="1">
      <alignment horizontal="center" vertical="center" wrapText="1"/>
    </xf>
    <xf numFmtId="180" fontId="2" fillId="0" borderId="0" xfId="0" applyNumberFormat="1" applyFont="1" applyAlignment="1">
      <alignment/>
    </xf>
    <xf numFmtId="3" fontId="0" fillId="0" borderId="11" xfId="0" applyNumberFormat="1" applyFont="1" applyBorder="1" applyAlignment="1">
      <alignment horizontal="center" wrapText="1"/>
    </xf>
    <xf numFmtId="3" fontId="8" fillId="16" borderId="12" xfId="62" applyNumberFormat="1" applyFont="1" applyFill="1" applyBorder="1" applyAlignment="1" quotePrefix="1">
      <alignment horizontal="right" vertical="center" wrapText="1"/>
    </xf>
    <xf numFmtId="3" fontId="8" fillId="16" borderId="10" xfId="62" applyNumberFormat="1" applyFont="1" applyFill="1" applyBorder="1" applyAlignment="1" quotePrefix="1">
      <alignment horizontal="right" vertical="center" wrapText="1"/>
    </xf>
    <xf numFmtId="3" fontId="0" fillId="0" borderId="10" xfId="62" applyNumberFormat="1" applyFont="1" applyBorder="1" applyAlignment="1">
      <alignment horizontal="right"/>
    </xf>
    <xf numFmtId="3" fontId="2" fillId="0" borderId="11" xfId="62" applyNumberFormat="1" applyFont="1" applyBorder="1" applyAlignment="1">
      <alignment horizontal="right"/>
    </xf>
    <xf numFmtId="3" fontId="2" fillId="0" borderId="13" xfId="62" applyNumberFormat="1" applyFont="1" applyBorder="1" applyAlignment="1">
      <alignment horizontal="right"/>
    </xf>
    <xf numFmtId="3" fontId="8" fillId="16" borderId="14" xfId="62" applyNumberFormat="1" applyFont="1" applyFill="1" applyBorder="1" applyAlignment="1" quotePrefix="1">
      <alignment horizontal="right" vertical="center" wrapText="1"/>
    </xf>
    <xf numFmtId="3" fontId="0" fillId="0" borderId="12" xfId="62" applyNumberFormat="1" applyFont="1" applyFill="1" applyBorder="1" applyAlignment="1">
      <alignment horizontal="right"/>
    </xf>
    <xf numFmtId="3" fontId="0" fillId="0" borderId="10" xfId="62" applyNumberFormat="1" applyFont="1" applyFill="1" applyBorder="1" applyAlignment="1">
      <alignment horizontal="right"/>
    </xf>
    <xf numFmtId="3" fontId="0" fillId="0" borderId="14" xfId="62" applyNumberFormat="1" applyFont="1" applyFill="1" applyBorder="1" applyAlignment="1">
      <alignment horizontal="right"/>
    </xf>
    <xf numFmtId="3" fontId="2" fillId="0" borderId="11" xfId="62" applyNumberFormat="1" applyFont="1" applyFill="1" applyBorder="1" applyAlignment="1">
      <alignment horizontal="right"/>
    </xf>
    <xf numFmtId="3" fontId="2" fillId="0" borderId="13" xfId="62" applyNumberFormat="1" applyFont="1" applyFill="1" applyBorder="1" applyAlignment="1">
      <alignment horizontal="right"/>
    </xf>
    <xf numFmtId="3" fontId="0" fillId="7" borderId="14" xfId="62" applyNumberFormat="1" applyFont="1" applyFill="1" applyBorder="1" applyAlignment="1">
      <alignment horizontal="right"/>
    </xf>
    <xf numFmtId="3" fontId="0" fillId="7" borderId="10" xfId="62" applyNumberFormat="1" applyFont="1" applyFill="1" applyBorder="1" applyAlignment="1">
      <alignment horizontal="right"/>
    </xf>
    <xf numFmtId="3" fontId="2" fillId="7" borderId="11" xfId="62" applyNumberFormat="1" applyFont="1" applyFill="1" applyBorder="1" applyAlignment="1">
      <alignment horizontal="right"/>
    </xf>
    <xf numFmtId="3" fontId="8" fillId="25" borderId="10" xfId="62" applyNumberFormat="1" applyFont="1" applyFill="1" applyBorder="1" applyAlignment="1" quotePrefix="1">
      <alignment horizontal="right" vertical="center" wrapText="1"/>
    </xf>
    <xf numFmtId="3" fontId="0" fillId="0" borderId="14" xfId="62" applyNumberFormat="1" applyFont="1" applyBorder="1" applyAlignment="1">
      <alignment horizontal="right"/>
    </xf>
    <xf numFmtId="3" fontId="2" fillId="0" borderId="14" xfId="62" applyNumberFormat="1" applyFont="1" applyBorder="1" applyAlignment="1">
      <alignment horizontal="right"/>
    </xf>
    <xf numFmtId="3" fontId="2" fillId="0" borderId="10" xfId="62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3" fontId="0" fillId="16" borderId="11" xfId="0" applyNumberFormat="1" applyFont="1" applyFill="1" applyBorder="1" applyAlignment="1">
      <alignment horizontal="center" wrapText="1"/>
    </xf>
    <xf numFmtId="3" fontId="2" fillId="16" borderId="11" xfId="62" applyNumberFormat="1" applyFont="1" applyFill="1" applyBorder="1" applyAlignment="1">
      <alignment horizontal="right"/>
    </xf>
    <xf numFmtId="3" fontId="2" fillId="16" borderId="13" xfId="62" applyNumberFormat="1" applyFont="1" applyFill="1" applyBorder="1" applyAlignment="1">
      <alignment horizontal="right"/>
    </xf>
    <xf numFmtId="3" fontId="0" fillId="0" borderId="12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4" fillId="16" borderId="10" xfId="62" applyNumberFormat="1" applyFont="1" applyFill="1" applyBorder="1" applyAlignment="1" quotePrefix="1">
      <alignment horizontal="right" vertical="center" wrapText="1"/>
    </xf>
    <xf numFmtId="3" fontId="0" fillId="16" borderId="12" xfId="62" applyNumberFormat="1" applyFont="1" applyFill="1" applyBorder="1" applyAlignment="1">
      <alignment horizontal="right"/>
    </xf>
    <xf numFmtId="3" fontId="0" fillId="16" borderId="10" xfId="62" applyNumberFormat="1" applyFont="1" applyFill="1" applyBorder="1" applyAlignment="1">
      <alignment horizontal="right"/>
    </xf>
    <xf numFmtId="3" fontId="0" fillId="16" borderId="14" xfId="62" applyNumberFormat="1" applyFont="1" applyFill="1" applyBorder="1" applyAlignment="1">
      <alignment horizontal="right"/>
    </xf>
    <xf numFmtId="3" fontId="0" fillId="0" borderId="14" xfId="62" applyNumberFormat="1" applyFont="1" applyBorder="1" applyAlignment="1">
      <alignment horizontal="right" vertical="center" wrapText="1"/>
    </xf>
    <xf numFmtId="3" fontId="0" fillId="0" borderId="10" xfId="62" applyNumberFormat="1" applyFont="1" applyBorder="1" applyAlignment="1">
      <alignment horizontal="right" vertical="center" wrapText="1"/>
    </xf>
    <xf numFmtId="3" fontId="25" fillId="16" borderId="11" xfId="62" applyNumberFormat="1" applyFont="1" applyFill="1" applyBorder="1" applyAlignment="1" quotePrefix="1">
      <alignment horizontal="right" vertical="center" wrapText="1"/>
    </xf>
    <xf numFmtId="3" fontId="0" fillId="0" borderId="12" xfId="62" applyNumberFormat="1" applyFont="1" applyBorder="1" applyAlignment="1">
      <alignment horizontal="right"/>
    </xf>
    <xf numFmtId="3" fontId="2" fillId="16" borderId="14" xfId="62" applyNumberFormat="1" applyFont="1" applyFill="1" applyBorder="1" applyAlignment="1">
      <alignment horizontal="right"/>
    </xf>
    <xf numFmtId="3" fontId="2" fillId="16" borderId="10" xfId="62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0" fillId="16" borderId="0" xfId="0" applyNumberFormat="1" applyFont="1" applyFill="1" applyAlignment="1">
      <alignment/>
    </xf>
    <xf numFmtId="3" fontId="0" fillId="11" borderId="14" xfId="62" applyNumberFormat="1" applyFont="1" applyFill="1" applyBorder="1" applyAlignment="1">
      <alignment horizontal="right"/>
    </xf>
    <xf numFmtId="3" fontId="0" fillId="11" borderId="10" xfId="62" applyNumberFormat="1" applyFont="1" applyFill="1" applyBorder="1" applyAlignment="1">
      <alignment horizontal="right"/>
    </xf>
    <xf numFmtId="3" fontId="2" fillId="11" borderId="11" xfId="62" applyNumberFormat="1" applyFont="1" applyFill="1" applyBorder="1" applyAlignment="1">
      <alignment horizontal="right"/>
    </xf>
    <xf numFmtId="3" fontId="0" fillId="7" borderId="15" xfId="62" applyNumberFormat="1" applyFont="1" applyFill="1" applyBorder="1" applyAlignment="1">
      <alignment horizontal="right"/>
    </xf>
    <xf numFmtId="3" fontId="0" fillId="7" borderId="16" xfId="62" applyNumberFormat="1" applyFont="1" applyFill="1" applyBorder="1" applyAlignment="1">
      <alignment horizontal="right"/>
    </xf>
    <xf numFmtId="3" fontId="0" fillId="7" borderId="17" xfId="62" applyNumberFormat="1" applyFont="1" applyFill="1" applyBorder="1" applyAlignment="1">
      <alignment horizontal="right"/>
    </xf>
    <xf numFmtId="3" fontId="0" fillId="7" borderId="18" xfId="62" applyNumberFormat="1" applyFont="1" applyFill="1" applyBorder="1" applyAlignment="1">
      <alignment horizontal="right"/>
    </xf>
    <xf numFmtId="3" fontId="2" fillId="7" borderId="19" xfId="62" applyNumberFormat="1" applyFont="1" applyFill="1" applyBorder="1" applyAlignment="1">
      <alignment horizontal="right"/>
    </xf>
    <xf numFmtId="3" fontId="0" fillId="7" borderId="20" xfId="62" applyNumberFormat="1" applyFont="1" applyFill="1" applyBorder="1" applyAlignment="1">
      <alignment horizontal="right"/>
    </xf>
    <xf numFmtId="3" fontId="8" fillId="16" borderId="15" xfId="62" applyNumberFormat="1" applyFont="1" applyFill="1" applyBorder="1" applyAlignment="1" quotePrefix="1">
      <alignment horizontal="right" vertical="center" wrapText="1"/>
    </xf>
    <xf numFmtId="3" fontId="8" fillId="16" borderId="16" xfId="62" applyNumberFormat="1" applyFont="1" applyFill="1" applyBorder="1" applyAlignment="1" quotePrefix="1">
      <alignment horizontal="right" vertical="center" wrapText="1"/>
    </xf>
    <xf numFmtId="3" fontId="0" fillId="0" borderId="16" xfId="62" applyNumberFormat="1" applyFont="1" applyBorder="1" applyAlignment="1">
      <alignment horizontal="right"/>
    </xf>
    <xf numFmtId="3" fontId="2" fillId="0" borderId="21" xfId="62" applyNumberFormat="1" applyFont="1" applyBorder="1" applyAlignment="1">
      <alignment horizontal="right"/>
    </xf>
    <xf numFmtId="3" fontId="0" fillId="0" borderId="22" xfId="62" applyNumberFormat="1" applyFont="1" applyBorder="1" applyAlignment="1">
      <alignment horizontal="right"/>
    </xf>
    <xf numFmtId="3" fontId="0" fillId="0" borderId="18" xfId="62" applyNumberFormat="1" applyFont="1" applyBorder="1" applyAlignment="1">
      <alignment horizontal="right"/>
    </xf>
    <xf numFmtId="3" fontId="0" fillId="0" borderId="23" xfId="62" applyNumberFormat="1" applyFont="1" applyBorder="1" applyAlignment="1">
      <alignment horizontal="right"/>
    </xf>
    <xf numFmtId="3" fontId="2" fillId="0" borderId="24" xfId="62" applyNumberFormat="1" applyFont="1" applyBorder="1" applyAlignment="1">
      <alignment horizontal="right"/>
    </xf>
    <xf numFmtId="3" fontId="0" fillId="0" borderId="15" xfId="62" applyNumberFormat="1" applyFont="1" applyBorder="1" applyAlignment="1">
      <alignment horizontal="right"/>
    </xf>
    <xf numFmtId="3" fontId="0" fillId="0" borderId="25" xfId="62" applyNumberFormat="1" applyFont="1" applyBorder="1" applyAlignment="1">
      <alignment horizontal="right"/>
    </xf>
    <xf numFmtId="3" fontId="2" fillId="0" borderId="26" xfId="62" applyNumberFormat="1" applyFont="1" applyBorder="1" applyAlignment="1">
      <alignment horizontal="right"/>
    </xf>
    <xf numFmtId="3" fontId="8" fillId="16" borderId="25" xfId="62" applyNumberFormat="1" applyFont="1" applyFill="1" applyBorder="1" applyAlignment="1" quotePrefix="1">
      <alignment horizontal="right" vertical="center" wrapText="1"/>
    </xf>
    <xf numFmtId="3" fontId="2" fillId="0" borderId="26" xfId="62" applyNumberFormat="1" applyFont="1" applyFill="1" applyBorder="1" applyAlignment="1">
      <alignment horizontal="right"/>
    </xf>
    <xf numFmtId="3" fontId="0" fillId="0" borderId="22" xfId="62" applyNumberFormat="1" applyFont="1" applyFill="1" applyBorder="1" applyAlignment="1">
      <alignment horizontal="right"/>
    </xf>
    <xf numFmtId="3" fontId="0" fillId="0" borderId="18" xfId="62" applyNumberFormat="1" applyFont="1" applyFill="1" applyBorder="1" applyAlignment="1">
      <alignment horizontal="right"/>
    </xf>
    <xf numFmtId="3" fontId="0" fillId="0" borderId="23" xfId="62" applyNumberFormat="1" applyFont="1" applyFill="1" applyBorder="1" applyAlignment="1">
      <alignment horizontal="right"/>
    </xf>
    <xf numFmtId="3" fontId="0" fillId="0" borderId="17" xfId="62" applyNumberFormat="1" applyFont="1" applyFill="1" applyBorder="1" applyAlignment="1">
      <alignment horizontal="right"/>
    </xf>
    <xf numFmtId="3" fontId="2" fillId="0" borderId="24" xfId="62" applyNumberFormat="1" applyFont="1" applyFill="1" applyBorder="1" applyAlignment="1">
      <alignment horizontal="right"/>
    </xf>
    <xf numFmtId="3" fontId="2" fillId="0" borderId="21" xfId="62" applyNumberFormat="1" applyFont="1" applyFill="1" applyBorder="1" applyAlignment="1">
      <alignment horizontal="right"/>
    </xf>
    <xf numFmtId="3" fontId="8" fillId="25" borderId="16" xfId="62" applyNumberFormat="1" applyFont="1" applyFill="1" applyBorder="1" applyAlignment="1" quotePrefix="1">
      <alignment horizontal="right" vertical="center" wrapText="1"/>
    </xf>
    <xf numFmtId="3" fontId="0" fillId="25" borderId="18" xfId="62" applyNumberFormat="1" applyFont="1" applyFill="1" applyBorder="1" applyAlignment="1">
      <alignment horizontal="right"/>
    </xf>
    <xf numFmtId="3" fontId="0" fillId="0" borderId="15" xfId="62" applyNumberFormat="1" applyFont="1" applyFill="1" applyBorder="1" applyAlignment="1">
      <alignment horizontal="right"/>
    </xf>
    <xf numFmtId="3" fontId="0" fillId="0" borderId="25" xfId="62" applyNumberFormat="1" applyFont="1" applyFill="1" applyBorder="1" applyAlignment="1">
      <alignment horizontal="right"/>
    </xf>
    <xf numFmtId="3" fontId="2" fillId="7" borderId="21" xfId="62" applyNumberFormat="1" applyFont="1" applyFill="1" applyBorder="1" applyAlignment="1">
      <alignment horizontal="right"/>
    </xf>
    <xf numFmtId="3" fontId="25" fillId="16" borderId="21" xfId="62" applyNumberFormat="1" applyFont="1" applyFill="1" applyBorder="1" applyAlignment="1" quotePrefix="1">
      <alignment horizontal="right" vertical="center" wrapText="1"/>
    </xf>
    <xf numFmtId="3" fontId="0" fillId="0" borderId="16" xfId="62" applyNumberFormat="1" applyFont="1" applyFill="1" applyBorder="1" applyAlignment="1">
      <alignment horizontal="right"/>
    </xf>
    <xf numFmtId="3" fontId="0" fillId="0" borderId="27" xfId="0" applyNumberFormat="1" applyFont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25" borderId="16" xfId="0" applyFont="1" applyFill="1" applyBorder="1" applyAlignment="1">
      <alignment horizontal="center" vertical="center" textRotation="90" wrapText="1"/>
    </xf>
    <xf numFmtId="0" fontId="2" fillId="16" borderId="28" xfId="0" applyFont="1" applyFill="1" applyBorder="1" applyAlignment="1">
      <alignment horizontal="center" vertical="center" textRotation="90" wrapText="1"/>
    </xf>
    <xf numFmtId="0" fontId="2" fillId="16" borderId="29" xfId="0" applyFont="1" applyFill="1" applyBorder="1" applyAlignment="1">
      <alignment horizontal="center" vertical="center" textRotation="90" wrapText="1"/>
    </xf>
    <xf numFmtId="0" fontId="2" fillId="16" borderId="3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2" fillId="7" borderId="28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0" fillId="7" borderId="29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3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25" borderId="26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textRotation="90" wrapText="1"/>
    </xf>
    <xf numFmtId="3" fontId="2" fillId="0" borderId="31" xfId="0" applyNumberFormat="1" applyFont="1" applyBorder="1" applyAlignment="1">
      <alignment horizontal="center" vertical="center" wrapText="1"/>
    </xf>
    <xf numFmtId="3" fontId="2" fillId="0" borderId="32" xfId="0" applyNumberFormat="1" applyFont="1" applyBorder="1" applyAlignment="1">
      <alignment horizontal="center" vertical="center" wrapText="1"/>
    </xf>
    <xf numFmtId="0" fontId="2" fillId="25" borderId="25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16" borderId="33" xfId="0" applyFont="1" applyFill="1" applyBorder="1" applyAlignment="1">
      <alignment horizontal="center" vertical="center" textRotation="90" wrapText="1"/>
    </xf>
    <xf numFmtId="0" fontId="2" fillId="16" borderId="34" xfId="0" applyFont="1" applyFill="1" applyBorder="1" applyAlignment="1">
      <alignment horizontal="center" vertical="center" textRotation="90" wrapText="1"/>
    </xf>
    <xf numFmtId="0" fontId="2" fillId="16" borderId="35" xfId="0" applyFont="1" applyFill="1" applyBorder="1" applyAlignment="1">
      <alignment horizontal="center" vertical="center" textRotation="90" wrapText="1"/>
    </xf>
    <xf numFmtId="0" fontId="2" fillId="16" borderId="36" xfId="0" applyFont="1" applyFill="1" applyBorder="1" applyAlignment="1">
      <alignment horizontal="center" vertical="center" textRotation="90" wrapText="1"/>
    </xf>
    <xf numFmtId="0" fontId="2" fillId="16" borderId="37" xfId="0" applyFont="1" applyFill="1" applyBorder="1" applyAlignment="1">
      <alignment horizontal="center" vertical="center" textRotation="90" wrapText="1"/>
    </xf>
    <xf numFmtId="0" fontId="2" fillId="25" borderId="20" xfId="0" applyFont="1" applyFill="1" applyBorder="1" applyAlignment="1">
      <alignment horizontal="center" vertical="center" textRotation="90" wrapText="1"/>
    </xf>
    <xf numFmtId="0" fontId="2" fillId="25" borderId="18" xfId="0" applyFont="1" applyFill="1" applyBorder="1" applyAlignment="1">
      <alignment horizontal="center" vertical="center" textRotation="90" wrapText="1"/>
    </xf>
    <xf numFmtId="0" fontId="2" fillId="25" borderId="19" xfId="0" applyFont="1" applyFill="1" applyBorder="1" applyAlignment="1">
      <alignment horizontal="center" vertical="center" textRotation="90" wrapText="1"/>
    </xf>
    <xf numFmtId="0" fontId="2" fillId="4" borderId="37" xfId="0" applyFont="1" applyFill="1" applyBorder="1" applyAlignment="1">
      <alignment horizontal="center" vertical="center" textRotation="90" wrapText="1"/>
    </xf>
    <xf numFmtId="0" fontId="2" fillId="4" borderId="34" xfId="0" applyFont="1" applyFill="1" applyBorder="1" applyAlignment="1">
      <alignment horizontal="center" vertical="center" textRotation="90" wrapText="1"/>
    </xf>
    <xf numFmtId="0" fontId="2" fillId="4" borderId="35" xfId="0" applyFont="1" applyFill="1" applyBorder="1" applyAlignment="1">
      <alignment horizontal="center" vertical="center" textRotation="90" wrapText="1"/>
    </xf>
    <xf numFmtId="0" fontId="2" fillId="4" borderId="33" xfId="0" applyFont="1" applyFill="1" applyBorder="1" applyAlignment="1">
      <alignment horizontal="center" vertical="center" textRotation="90" wrapText="1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20" xfId="0" applyFont="1" applyFill="1" applyBorder="1" applyAlignment="1">
      <alignment horizontal="center" vertical="center" textRotation="90" wrapText="1"/>
    </xf>
    <xf numFmtId="0" fontId="2" fillId="4" borderId="18" xfId="0" applyFont="1" applyFill="1" applyBorder="1" applyAlignment="1">
      <alignment horizontal="center" vertical="center" textRotation="90" wrapText="1"/>
    </xf>
    <xf numFmtId="0" fontId="2" fillId="4" borderId="19" xfId="0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16" borderId="38" xfId="0" applyFont="1" applyFill="1" applyBorder="1" applyAlignment="1">
      <alignment horizontal="center" vertical="center" textRotation="90" wrapText="1"/>
    </xf>
    <xf numFmtId="0" fontId="2" fillId="25" borderId="26" xfId="0" applyFont="1" applyFill="1" applyBorder="1" applyAlignment="1">
      <alignment horizontal="center" vertical="center"/>
    </xf>
    <xf numFmtId="0" fontId="2" fillId="25" borderId="39" xfId="0" applyFont="1" applyFill="1" applyBorder="1" applyAlignment="1">
      <alignment horizontal="center" vertical="center" textRotation="90" wrapText="1"/>
    </xf>
    <xf numFmtId="0" fontId="2" fillId="25" borderId="28" xfId="0" applyFont="1" applyFill="1" applyBorder="1" applyAlignment="1">
      <alignment horizontal="center" vertical="center" textRotation="90"/>
    </xf>
    <xf numFmtId="0" fontId="2" fillId="25" borderId="40" xfId="0" applyFont="1" applyFill="1" applyBorder="1" applyAlignment="1">
      <alignment horizontal="center" vertical="center" textRotation="90"/>
    </xf>
    <xf numFmtId="0" fontId="2" fillId="25" borderId="29" xfId="0" applyFont="1" applyFill="1" applyBorder="1" applyAlignment="1">
      <alignment horizontal="center" vertical="center" textRotation="90"/>
    </xf>
    <xf numFmtId="0" fontId="2" fillId="25" borderId="41" xfId="0" applyFont="1" applyFill="1" applyBorder="1" applyAlignment="1">
      <alignment horizontal="center" vertical="center" textRotation="90"/>
    </xf>
    <xf numFmtId="0" fontId="2" fillId="25" borderId="30" xfId="0" applyFont="1" applyFill="1" applyBorder="1" applyAlignment="1">
      <alignment horizontal="center" vertical="center" textRotation="90"/>
    </xf>
    <xf numFmtId="0" fontId="2" fillId="25" borderId="42" xfId="0" applyFont="1" applyFill="1" applyBorder="1" applyAlignment="1">
      <alignment horizontal="center" vertical="center" textRotation="90"/>
    </xf>
    <xf numFmtId="0" fontId="2" fillId="25" borderId="16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20" xfId="0" applyFont="1" applyFill="1" applyBorder="1" applyAlignment="1">
      <alignment horizontal="center" vertical="center" textRotation="90" wrapText="1"/>
    </xf>
    <xf numFmtId="0" fontId="2" fillId="2" borderId="18" xfId="0" applyFont="1" applyFill="1" applyBorder="1" applyAlignment="1">
      <alignment horizontal="center" vertical="center" textRotation="90" wrapText="1"/>
    </xf>
    <xf numFmtId="0" fontId="2" fillId="2" borderId="19" xfId="0" applyFont="1" applyFill="1" applyBorder="1" applyAlignment="1">
      <alignment horizontal="center" vertical="center" textRotation="90" wrapText="1"/>
    </xf>
    <xf numFmtId="0" fontId="2" fillId="0" borderId="25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 textRotation="90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10" xfId="33"/>
    <cellStyle name="S11" xfId="34"/>
    <cellStyle name="S8" xfId="35"/>
    <cellStyle name="S9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D219"/>
  <sheetViews>
    <sheetView tabSelected="1" zoomScale="50" zoomScaleNormal="50" zoomScalePageLayoutView="0" workbookViewId="0" topLeftCell="B1">
      <pane xSplit="3" ySplit="5" topLeftCell="E6" activePane="bottomRight" state="frozen"/>
      <selection pane="topLeft" activeCell="B1" sqref="B1"/>
      <selection pane="topRight" activeCell="E1" sqref="E1"/>
      <selection pane="bottomLeft" activeCell="B7" sqref="B7"/>
      <selection pane="bottomRight" activeCell="F232" sqref="F232"/>
    </sheetView>
  </sheetViews>
  <sheetFormatPr defaultColWidth="9.00390625" defaultRowHeight="12.75"/>
  <cols>
    <col min="1" max="1" width="3.00390625" style="2" hidden="1" customWidth="1"/>
    <col min="2" max="2" width="7.00390625" style="3" customWidth="1"/>
    <col min="3" max="3" width="6.875" style="17" customWidth="1"/>
    <col min="4" max="4" width="24.625" style="5" customWidth="1"/>
    <col min="5" max="5" width="12.375" style="38" customWidth="1"/>
    <col min="6" max="6" width="12.375" style="56" customWidth="1"/>
    <col min="7" max="7" width="12.375" style="38" customWidth="1"/>
    <col min="8" max="8" width="13.00390625" style="38" customWidth="1"/>
    <col min="9" max="9" width="12.75390625" style="38" customWidth="1"/>
    <col min="10" max="10" width="12.875" style="38" customWidth="1"/>
    <col min="11" max="11" width="13.125" style="38" customWidth="1"/>
    <col min="12" max="14" width="11.875" style="38" customWidth="1"/>
    <col min="15" max="15" width="12.875" style="38" customWidth="1"/>
    <col min="16" max="16" width="14.125" style="38" customWidth="1"/>
    <col min="17" max="17" width="11.625" style="38" customWidth="1"/>
    <col min="18" max="18" width="12.25390625" style="38" customWidth="1"/>
    <col min="19" max="19" width="11.625" style="38" customWidth="1"/>
    <col min="20" max="21" width="11.75390625" style="38" customWidth="1"/>
    <col min="22" max="22" width="12.00390625" style="38" customWidth="1"/>
    <col min="23" max="23" width="12.25390625" style="38" customWidth="1"/>
    <col min="24" max="24" width="11.625" style="38" customWidth="1"/>
    <col min="25" max="26" width="11.875" style="38" customWidth="1"/>
    <col min="27" max="27" width="11.625" style="38" customWidth="1"/>
    <col min="28" max="28" width="13.25390625" style="55" customWidth="1"/>
    <col min="29" max="16384" width="9.125" style="5" customWidth="1"/>
  </cols>
  <sheetData>
    <row r="1" spans="1:28" s="4" customFormat="1" ht="15.75">
      <c r="A1" s="111" t="s">
        <v>81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39"/>
    </row>
    <row r="2" spans="1:28" s="4" customFormat="1" ht="13.5" thickBo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39"/>
    </row>
    <row r="3" spans="1:28" s="4" customFormat="1" ht="13.5" customHeight="1">
      <c r="A3" s="113" t="s">
        <v>24</v>
      </c>
      <c r="B3" s="114" t="s">
        <v>32</v>
      </c>
      <c r="C3" s="115"/>
      <c r="D3" s="120" t="s">
        <v>51</v>
      </c>
      <c r="E3" s="122" t="s">
        <v>0</v>
      </c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08" t="s">
        <v>35</v>
      </c>
    </row>
    <row r="4" spans="1:28" s="4" customFormat="1" ht="19.5" customHeight="1">
      <c r="A4" s="113"/>
      <c r="B4" s="116"/>
      <c r="C4" s="117"/>
      <c r="D4" s="121"/>
      <c r="E4" s="93" t="s">
        <v>79</v>
      </c>
      <c r="F4" s="93" t="s">
        <v>80</v>
      </c>
      <c r="G4" s="93" t="s">
        <v>58</v>
      </c>
      <c r="H4" s="93" t="s">
        <v>59</v>
      </c>
      <c r="I4" s="93" t="s">
        <v>60</v>
      </c>
      <c r="J4" s="93" t="s">
        <v>61</v>
      </c>
      <c r="K4" s="93" t="s">
        <v>62</v>
      </c>
      <c r="L4" s="93" t="s">
        <v>63</v>
      </c>
      <c r="M4" s="93" t="s">
        <v>64</v>
      </c>
      <c r="N4" s="93" t="s">
        <v>65</v>
      </c>
      <c r="O4" s="93" t="s">
        <v>66</v>
      </c>
      <c r="P4" s="93" t="s">
        <v>67</v>
      </c>
      <c r="Q4" s="93" t="s">
        <v>68</v>
      </c>
      <c r="R4" s="93" t="s">
        <v>69</v>
      </c>
      <c r="S4" s="93" t="s">
        <v>70</v>
      </c>
      <c r="T4" s="93" t="s">
        <v>71</v>
      </c>
      <c r="U4" s="93" t="s">
        <v>72</v>
      </c>
      <c r="V4" s="93" t="s">
        <v>73</v>
      </c>
      <c r="W4" s="93" t="s">
        <v>74</v>
      </c>
      <c r="X4" s="93" t="s">
        <v>75</v>
      </c>
      <c r="Y4" s="93" t="s">
        <v>76</v>
      </c>
      <c r="Z4" s="93" t="s">
        <v>77</v>
      </c>
      <c r="AA4" s="93" t="s">
        <v>78</v>
      </c>
      <c r="AB4" s="109"/>
    </row>
    <row r="5" spans="1:28" s="4" customFormat="1" ht="13.5" customHeight="1" thickBot="1">
      <c r="A5" s="113"/>
      <c r="B5" s="118"/>
      <c r="C5" s="119"/>
      <c r="D5" s="15" t="s">
        <v>8</v>
      </c>
      <c r="E5" s="19">
        <v>1</v>
      </c>
      <c r="F5" s="40">
        <v>2</v>
      </c>
      <c r="G5" s="19">
        <v>3</v>
      </c>
      <c r="H5" s="19">
        <v>4</v>
      </c>
      <c r="I5" s="19">
        <v>5</v>
      </c>
      <c r="J5" s="19">
        <v>6</v>
      </c>
      <c r="K5" s="19">
        <v>7</v>
      </c>
      <c r="L5" s="19">
        <v>8</v>
      </c>
      <c r="M5" s="19">
        <v>9</v>
      </c>
      <c r="N5" s="19">
        <v>10</v>
      </c>
      <c r="O5" s="19">
        <v>11</v>
      </c>
      <c r="P5" s="19">
        <v>12</v>
      </c>
      <c r="Q5" s="19">
        <v>13</v>
      </c>
      <c r="R5" s="19">
        <v>14</v>
      </c>
      <c r="S5" s="19">
        <v>15</v>
      </c>
      <c r="T5" s="19">
        <v>16</v>
      </c>
      <c r="U5" s="19">
        <v>17</v>
      </c>
      <c r="V5" s="19">
        <v>18</v>
      </c>
      <c r="W5" s="19">
        <v>19</v>
      </c>
      <c r="X5" s="19">
        <v>20</v>
      </c>
      <c r="Y5" s="19">
        <v>21</v>
      </c>
      <c r="Z5" s="19">
        <v>22</v>
      </c>
      <c r="AA5" s="19">
        <v>23</v>
      </c>
      <c r="AB5" s="92">
        <v>24</v>
      </c>
    </row>
    <row r="6" spans="1:28" s="4" customFormat="1" ht="12.75">
      <c r="A6" s="123">
        <v>1</v>
      </c>
      <c r="B6" s="130" t="s">
        <v>5</v>
      </c>
      <c r="C6" s="125" t="s">
        <v>6</v>
      </c>
      <c r="D6" s="14" t="s">
        <v>84</v>
      </c>
      <c r="E6" s="20">
        <v>390449.22</v>
      </c>
      <c r="F6" s="20">
        <v>51281.9</v>
      </c>
      <c r="G6" s="20">
        <v>105857.75</v>
      </c>
      <c r="H6" s="20">
        <v>181942.54</v>
      </c>
      <c r="I6" s="20">
        <v>106666.38</v>
      </c>
      <c r="J6" s="20">
        <v>23156.18</v>
      </c>
      <c r="K6" s="20">
        <v>76160.68</v>
      </c>
      <c r="L6" s="20">
        <v>111906.69</v>
      </c>
      <c r="M6" s="20">
        <v>27884.6</v>
      </c>
      <c r="N6" s="20">
        <v>41104.85</v>
      </c>
      <c r="O6" s="20">
        <v>268217.13</v>
      </c>
      <c r="P6" s="20">
        <v>456467.12</v>
      </c>
      <c r="Q6" s="20">
        <v>21329.39</v>
      </c>
      <c r="R6" s="20">
        <v>339854.25</v>
      </c>
      <c r="S6" s="20">
        <v>9673.9</v>
      </c>
      <c r="T6" s="20">
        <v>19621.13</v>
      </c>
      <c r="U6" s="20">
        <v>46752.28</v>
      </c>
      <c r="V6" s="20">
        <v>150828.7</v>
      </c>
      <c r="W6" s="20">
        <v>63145.1</v>
      </c>
      <c r="X6" s="20">
        <v>106496.41</v>
      </c>
      <c r="Y6" s="20">
        <v>188740.75</v>
      </c>
      <c r="Z6" s="20">
        <v>159610.04</v>
      </c>
      <c r="AA6" s="77">
        <v>85561.58</v>
      </c>
      <c r="AB6" s="70">
        <f>SUM(E6:AA6)</f>
        <v>3032708.5700000008</v>
      </c>
    </row>
    <row r="7" spans="1:28" s="4" customFormat="1" ht="12.75">
      <c r="A7" s="123"/>
      <c r="B7" s="131"/>
      <c r="C7" s="126"/>
      <c r="D7" s="9" t="s">
        <v>1</v>
      </c>
      <c r="E7" s="21">
        <v>630817.87</v>
      </c>
      <c r="F7" s="21">
        <v>301439.34</v>
      </c>
      <c r="G7" s="21">
        <v>385580.74</v>
      </c>
      <c r="H7" s="21">
        <v>404686.59</v>
      </c>
      <c r="I7" s="21">
        <v>230940.06</v>
      </c>
      <c r="J7" s="21">
        <v>49295.76</v>
      </c>
      <c r="K7" s="21">
        <v>73536.29</v>
      </c>
      <c r="L7" s="21">
        <v>310191.2</v>
      </c>
      <c r="M7" s="21">
        <v>70848.91</v>
      </c>
      <c r="N7" s="21">
        <v>124342.22</v>
      </c>
      <c r="O7" s="21">
        <v>619264.57</v>
      </c>
      <c r="P7" s="21">
        <v>1094276.99</v>
      </c>
      <c r="Q7" s="21">
        <v>133922.12</v>
      </c>
      <c r="R7" s="21">
        <v>688898.6</v>
      </c>
      <c r="S7" s="21">
        <v>104708.03</v>
      </c>
      <c r="T7" s="21">
        <v>117815.09</v>
      </c>
      <c r="U7" s="21">
        <v>111722.98</v>
      </c>
      <c r="V7" s="21">
        <v>377052.78</v>
      </c>
      <c r="W7" s="21">
        <v>356607.22</v>
      </c>
      <c r="X7" s="21">
        <v>360404.11</v>
      </c>
      <c r="Y7" s="21">
        <v>389064.62</v>
      </c>
      <c r="Z7" s="21">
        <v>479049.53</v>
      </c>
      <c r="AA7" s="67">
        <v>337629.54</v>
      </c>
      <c r="AB7" s="71">
        <f>SUM(E7:AA7)</f>
        <v>7752095.160000001</v>
      </c>
    </row>
    <row r="8" spans="1:28" s="4" customFormat="1" ht="12.75">
      <c r="A8" s="123"/>
      <c r="B8" s="131"/>
      <c r="C8" s="126"/>
      <c r="D8" s="9" t="s">
        <v>2</v>
      </c>
      <c r="E8" s="21">
        <v>537952.91</v>
      </c>
      <c r="F8" s="21">
        <v>261695.01</v>
      </c>
      <c r="G8" s="21">
        <v>374330.43</v>
      </c>
      <c r="H8" s="21">
        <v>345747.06</v>
      </c>
      <c r="I8" s="21">
        <v>202528.54</v>
      </c>
      <c r="J8" s="21">
        <v>43712.59</v>
      </c>
      <c r="K8" s="21">
        <v>54628.5</v>
      </c>
      <c r="L8" s="21">
        <v>289305.59</v>
      </c>
      <c r="M8" s="21">
        <v>57510.19</v>
      </c>
      <c r="N8" s="21">
        <v>89333.48</v>
      </c>
      <c r="O8" s="21">
        <v>527831.07</v>
      </c>
      <c r="P8" s="21">
        <v>1051227.33</v>
      </c>
      <c r="Q8" s="21">
        <v>87723.71</v>
      </c>
      <c r="R8" s="21">
        <v>548320.92</v>
      </c>
      <c r="S8" s="21">
        <v>92572.33</v>
      </c>
      <c r="T8" s="21">
        <v>112120.08</v>
      </c>
      <c r="U8" s="21">
        <v>69189.19</v>
      </c>
      <c r="V8" s="21">
        <v>325725.31</v>
      </c>
      <c r="W8" s="21">
        <v>335649.43</v>
      </c>
      <c r="X8" s="21">
        <v>338730.29</v>
      </c>
      <c r="Y8" s="21">
        <v>277995.53</v>
      </c>
      <c r="Z8" s="21">
        <v>427178.73</v>
      </c>
      <c r="AA8" s="67">
        <v>285033.65</v>
      </c>
      <c r="AB8" s="72">
        <f>SUM(E8:AA8)</f>
        <v>6736041.870000001</v>
      </c>
    </row>
    <row r="9" spans="1:28" s="4" customFormat="1" ht="12.75">
      <c r="A9" s="123"/>
      <c r="B9" s="131"/>
      <c r="C9" s="126"/>
      <c r="D9" s="9" t="s">
        <v>4</v>
      </c>
      <c r="E9" s="21">
        <f>+E7</f>
        <v>630817.87</v>
      </c>
      <c r="F9" s="21">
        <f aca="true" t="shared" si="0" ref="F9:AA9">+F7</f>
        <v>301439.34</v>
      </c>
      <c r="G9" s="21">
        <f t="shared" si="0"/>
        <v>385580.74</v>
      </c>
      <c r="H9" s="21">
        <f t="shared" si="0"/>
        <v>404686.59</v>
      </c>
      <c r="I9" s="21">
        <f t="shared" si="0"/>
        <v>230940.06</v>
      </c>
      <c r="J9" s="21">
        <f t="shared" si="0"/>
        <v>49295.76</v>
      </c>
      <c r="K9" s="21">
        <f t="shared" si="0"/>
        <v>73536.29</v>
      </c>
      <c r="L9" s="21">
        <f t="shared" si="0"/>
        <v>310191.2</v>
      </c>
      <c r="M9" s="21">
        <f t="shared" si="0"/>
        <v>70848.91</v>
      </c>
      <c r="N9" s="21">
        <f t="shared" si="0"/>
        <v>124342.22</v>
      </c>
      <c r="O9" s="21">
        <f t="shared" si="0"/>
        <v>619264.57</v>
      </c>
      <c r="P9" s="21">
        <f t="shared" si="0"/>
        <v>1094276.99</v>
      </c>
      <c r="Q9" s="21">
        <f t="shared" si="0"/>
        <v>133922.12</v>
      </c>
      <c r="R9" s="21">
        <f t="shared" si="0"/>
        <v>688898.6</v>
      </c>
      <c r="S9" s="21">
        <f t="shared" si="0"/>
        <v>104708.03</v>
      </c>
      <c r="T9" s="21">
        <f t="shared" si="0"/>
        <v>117815.09</v>
      </c>
      <c r="U9" s="21">
        <f t="shared" si="0"/>
        <v>111722.98</v>
      </c>
      <c r="V9" s="21">
        <f t="shared" si="0"/>
        <v>377052.78</v>
      </c>
      <c r="W9" s="21">
        <f t="shared" si="0"/>
        <v>356607.22</v>
      </c>
      <c r="X9" s="21">
        <f t="shared" si="0"/>
        <v>360404.11</v>
      </c>
      <c r="Y9" s="21">
        <f t="shared" si="0"/>
        <v>389064.62</v>
      </c>
      <c r="Z9" s="21">
        <f t="shared" si="0"/>
        <v>479049.53</v>
      </c>
      <c r="AA9" s="67">
        <f t="shared" si="0"/>
        <v>337629.54</v>
      </c>
      <c r="AB9" s="71">
        <f>SUM(E9:AA9)</f>
        <v>7752095.160000001</v>
      </c>
    </row>
    <row r="10" spans="1:28" s="4" customFormat="1" ht="12.75">
      <c r="A10" s="123"/>
      <c r="B10" s="131"/>
      <c r="C10" s="126"/>
      <c r="D10" s="9" t="s">
        <v>3</v>
      </c>
      <c r="E10" s="22">
        <f>+E8</f>
        <v>537952.91</v>
      </c>
      <c r="F10" s="22">
        <f aca="true" t="shared" si="1" ref="F10:AA10">+F8</f>
        <v>261695.01</v>
      </c>
      <c r="G10" s="22">
        <f t="shared" si="1"/>
        <v>374330.43</v>
      </c>
      <c r="H10" s="22">
        <f t="shared" si="1"/>
        <v>345747.06</v>
      </c>
      <c r="I10" s="22">
        <f t="shared" si="1"/>
        <v>202528.54</v>
      </c>
      <c r="J10" s="22">
        <f t="shared" si="1"/>
        <v>43712.59</v>
      </c>
      <c r="K10" s="22">
        <f t="shared" si="1"/>
        <v>54628.5</v>
      </c>
      <c r="L10" s="22">
        <f t="shared" si="1"/>
        <v>289305.59</v>
      </c>
      <c r="M10" s="22">
        <f t="shared" si="1"/>
        <v>57510.19</v>
      </c>
      <c r="N10" s="22">
        <f t="shared" si="1"/>
        <v>89333.48</v>
      </c>
      <c r="O10" s="22">
        <f t="shared" si="1"/>
        <v>527831.07</v>
      </c>
      <c r="P10" s="22">
        <f t="shared" si="1"/>
        <v>1051227.33</v>
      </c>
      <c r="Q10" s="22">
        <f t="shared" si="1"/>
        <v>87723.71</v>
      </c>
      <c r="R10" s="22">
        <f t="shared" si="1"/>
        <v>548320.92</v>
      </c>
      <c r="S10" s="22">
        <f t="shared" si="1"/>
        <v>92572.33</v>
      </c>
      <c r="T10" s="22">
        <f t="shared" si="1"/>
        <v>112120.08</v>
      </c>
      <c r="U10" s="22">
        <f t="shared" si="1"/>
        <v>69189.19</v>
      </c>
      <c r="V10" s="22">
        <f t="shared" si="1"/>
        <v>325725.31</v>
      </c>
      <c r="W10" s="22">
        <f t="shared" si="1"/>
        <v>335649.43</v>
      </c>
      <c r="X10" s="22">
        <f t="shared" si="1"/>
        <v>338730.29</v>
      </c>
      <c r="Y10" s="22">
        <f t="shared" si="1"/>
        <v>277995.53</v>
      </c>
      <c r="Z10" s="22">
        <f t="shared" si="1"/>
        <v>427178.73</v>
      </c>
      <c r="AA10" s="22">
        <f t="shared" si="1"/>
        <v>285033.65</v>
      </c>
      <c r="AB10" s="71">
        <f aca="true" t="shared" si="2" ref="AB10:AB89">SUM(E10:AA10)</f>
        <v>6736041.870000001</v>
      </c>
    </row>
    <row r="11" spans="1:28" s="1" customFormat="1" ht="13.5" thickBot="1">
      <c r="A11" s="123"/>
      <c r="B11" s="131"/>
      <c r="C11" s="127"/>
      <c r="D11" s="13" t="s">
        <v>82</v>
      </c>
      <c r="E11" s="23">
        <f>E6+E7-E8</f>
        <v>483314.17999999993</v>
      </c>
      <c r="F11" s="41">
        <f aca="true" t="shared" si="3" ref="F11:AA11">F6+F7-F8</f>
        <v>91026.23000000004</v>
      </c>
      <c r="G11" s="29">
        <f t="shared" si="3"/>
        <v>117108.06</v>
      </c>
      <c r="H11" s="23">
        <f t="shared" si="3"/>
        <v>240882.07</v>
      </c>
      <c r="I11" s="23">
        <f t="shared" si="3"/>
        <v>135077.9</v>
      </c>
      <c r="J11" s="23">
        <f t="shared" si="3"/>
        <v>28739.350000000006</v>
      </c>
      <c r="K11" s="23">
        <f t="shared" si="3"/>
        <v>95068.46999999997</v>
      </c>
      <c r="L11" s="23">
        <f t="shared" si="3"/>
        <v>132792.3</v>
      </c>
      <c r="M11" s="23">
        <f t="shared" si="3"/>
        <v>41223.32000000001</v>
      </c>
      <c r="N11" s="23">
        <f t="shared" si="3"/>
        <v>76113.59000000001</v>
      </c>
      <c r="O11" s="23">
        <f t="shared" si="3"/>
        <v>359650.63</v>
      </c>
      <c r="P11" s="23">
        <f>P6+P7-P8</f>
        <v>499516.7799999998</v>
      </c>
      <c r="Q11" s="23">
        <f t="shared" si="3"/>
        <v>67527.8</v>
      </c>
      <c r="R11" s="29">
        <f t="shared" si="3"/>
        <v>480431.92999999993</v>
      </c>
      <c r="S11" s="23">
        <f t="shared" si="3"/>
        <v>21809.59999999999</v>
      </c>
      <c r="T11" s="23">
        <f t="shared" si="3"/>
        <v>25316.14</v>
      </c>
      <c r="U11" s="23">
        <f t="shared" si="3"/>
        <v>89286.07</v>
      </c>
      <c r="V11" s="23">
        <f t="shared" si="3"/>
        <v>202156.16999999998</v>
      </c>
      <c r="W11" s="23">
        <f t="shared" si="3"/>
        <v>84102.88999999996</v>
      </c>
      <c r="X11" s="23">
        <f>X6+X7-X8</f>
        <v>128170.23000000004</v>
      </c>
      <c r="Y11" s="23">
        <f>Y6+Y7-Y8</f>
        <v>299809.83999999997</v>
      </c>
      <c r="Z11" s="23">
        <f t="shared" si="3"/>
        <v>211480.84000000008</v>
      </c>
      <c r="AA11" s="69">
        <f t="shared" si="3"/>
        <v>138157.46999999997</v>
      </c>
      <c r="AB11" s="73">
        <f t="shared" si="2"/>
        <v>4048761.8599999994</v>
      </c>
    </row>
    <row r="12" spans="1:28" s="1" customFormat="1" ht="12.75">
      <c r="A12" s="124"/>
      <c r="B12" s="131"/>
      <c r="C12" s="125" t="s">
        <v>7</v>
      </c>
      <c r="D12" s="14" t="s">
        <v>84</v>
      </c>
      <c r="E12" s="20">
        <v>349476.07</v>
      </c>
      <c r="F12" s="20">
        <v>22749.19</v>
      </c>
      <c r="G12" s="20">
        <v>84835.62</v>
      </c>
      <c r="H12" s="20">
        <v>158771.51</v>
      </c>
      <c r="I12" s="20">
        <v>89104.28</v>
      </c>
      <c r="J12" s="20">
        <v>23591.68</v>
      </c>
      <c r="K12" s="20">
        <v>73568.92</v>
      </c>
      <c r="L12" s="20">
        <v>72267.87</v>
      </c>
      <c r="M12" s="20">
        <v>24184.71</v>
      </c>
      <c r="N12" s="20">
        <v>36595.44</v>
      </c>
      <c r="O12" s="20">
        <v>244092.15</v>
      </c>
      <c r="P12" s="20">
        <v>405972.78</v>
      </c>
      <c r="Q12" s="20">
        <v>18980.21</v>
      </c>
      <c r="R12" s="20">
        <v>300277.06</v>
      </c>
      <c r="S12" s="20">
        <v>3165.78</v>
      </c>
      <c r="T12" s="20">
        <v>12266.93</v>
      </c>
      <c r="U12" s="20">
        <v>40226.28</v>
      </c>
      <c r="V12" s="20">
        <v>136209.14</v>
      </c>
      <c r="W12" s="20">
        <v>40208.65</v>
      </c>
      <c r="X12" s="20">
        <v>80534.89</v>
      </c>
      <c r="Y12" s="20">
        <v>159334.95</v>
      </c>
      <c r="Z12" s="20">
        <v>145496.91</v>
      </c>
      <c r="AA12" s="77">
        <v>59152.58</v>
      </c>
      <c r="AB12" s="70">
        <f t="shared" si="2"/>
        <v>2581063.6000000006</v>
      </c>
    </row>
    <row r="13" spans="1:28" s="1" customFormat="1" ht="12.75">
      <c r="A13" s="124"/>
      <c r="B13" s="131"/>
      <c r="C13" s="126"/>
      <c r="D13" s="9" t="s">
        <v>1</v>
      </c>
      <c r="E13" s="21">
        <v>545253.65</v>
      </c>
      <c r="F13" s="21">
        <v>245933.27</v>
      </c>
      <c r="G13" s="21">
        <v>330041.45</v>
      </c>
      <c r="H13" s="21">
        <v>339192.72</v>
      </c>
      <c r="I13" s="21">
        <v>196678.61</v>
      </c>
      <c r="J13" s="21">
        <v>45647.86</v>
      </c>
      <c r="K13" s="21">
        <v>61536.12</v>
      </c>
      <c r="L13" s="21">
        <v>253009.98</v>
      </c>
      <c r="M13" s="21">
        <v>62467.48</v>
      </c>
      <c r="N13" s="21">
        <v>110319.97</v>
      </c>
      <c r="O13" s="21">
        <v>519526.81</v>
      </c>
      <c r="P13" s="21">
        <v>936358.6</v>
      </c>
      <c r="Q13" s="21">
        <v>119531.44</v>
      </c>
      <c r="R13" s="21">
        <v>598134.04</v>
      </c>
      <c r="S13" s="21">
        <v>91018.02</v>
      </c>
      <c r="T13" s="21">
        <v>96967.55</v>
      </c>
      <c r="U13" s="21">
        <v>99664.86</v>
      </c>
      <c r="V13" s="21">
        <v>320667.81</v>
      </c>
      <c r="W13" s="21">
        <v>312564.31</v>
      </c>
      <c r="X13" s="21">
        <v>299164.47</v>
      </c>
      <c r="Y13" s="21">
        <v>334809.45</v>
      </c>
      <c r="Z13" s="21">
        <v>409473.69</v>
      </c>
      <c r="AA13" s="67">
        <v>279395.29</v>
      </c>
      <c r="AB13" s="71">
        <f t="shared" si="2"/>
        <v>6607357.449999999</v>
      </c>
    </row>
    <row r="14" spans="1:28" s="1" customFormat="1" ht="12.75">
      <c r="A14" s="124"/>
      <c r="B14" s="131"/>
      <c r="C14" s="126"/>
      <c r="D14" s="9" t="s">
        <v>2</v>
      </c>
      <c r="E14" s="21">
        <v>448672.77</v>
      </c>
      <c r="F14" s="21">
        <v>206865.41</v>
      </c>
      <c r="G14" s="21">
        <v>316949.26</v>
      </c>
      <c r="H14" s="21">
        <v>280752.45</v>
      </c>
      <c r="I14" s="21">
        <v>169151.28</v>
      </c>
      <c r="J14" s="21">
        <v>40599.47</v>
      </c>
      <c r="K14" s="21">
        <v>43437.85</v>
      </c>
      <c r="L14" s="21">
        <v>220539.21</v>
      </c>
      <c r="M14" s="21">
        <v>49756.73</v>
      </c>
      <c r="N14" s="21">
        <v>77021.09</v>
      </c>
      <c r="O14" s="21">
        <v>433347.05</v>
      </c>
      <c r="P14" s="21">
        <v>885065.33</v>
      </c>
      <c r="Q14" s="21">
        <v>78446.65</v>
      </c>
      <c r="R14" s="21">
        <v>461325.28</v>
      </c>
      <c r="S14" s="21">
        <v>76440.1</v>
      </c>
      <c r="T14" s="21">
        <v>89464.04</v>
      </c>
      <c r="U14" s="21">
        <v>60450.66</v>
      </c>
      <c r="V14" s="21">
        <v>276900.73</v>
      </c>
      <c r="W14" s="21">
        <v>287769.16</v>
      </c>
      <c r="X14" s="21">
        <v>273683.02</v>
      </c>
      <c r="Y14" s="21">
        <v>223744.21</v>
      </c>
      <c r="Z14" s="21">
        <v>364588.3</v>
      </c>
      <c r="AA14" s="67">
        <v>226230.98</v>
      </c>
      <c r="AB14" s="72">
        <f t="shared" si="2"/>
        <v>5591201.030000001</v>
      </c>
    </row>
    <row r="15" spans="1:28" s="1" customFormat="1" ht="12.75">
      <c r="A15" s="124"/>
      <c r="B15" s="131"/>
      <c r="C15" s="126"/>
      <c r="D15" s="9" t="s">
        <v>4</v>
      </c>
      <c r="E15" s="21">
        <f>+E13</f>
        <v>545253.65</v>
      </c>
      <c r="F15" s="21">
        <f aca="true" t="shared" si="4" ref="F15:AA15">+F13</f>
        <v>245933.27</v>
      </c>
      <c r="G15" s="21">
        <f t="shared" si="4"/>
        <v>330041.45</v>
      </c>
      <c r="H15" s="21">
        <f t="shared" si="4"/>
        <v>339192.72</v>
      </c>
      <c r="I15" s="21">
        <f t="shared" si="4"/>
        <v>196678.61</v>
      </c>
      <c r="J15" s="21">
        <f t="shared" si="4"/>
        <v>45647.86</v>
      </c>
      <c r="K15" s="21">
        <f t="shared" si="4"/>
        <v>61536.12</v>
      </c>
      <c r="L15" s="21">
        <f t="shared" si="4"/>
        <v>253009.98</v>
      </c>
      <c r="M15" s="21">
        <f t="shared" si="4"/>
        <v>62467.48</v>
      </c>
      <c r="N15" s="21">
        <f t="shared" si="4"/>
        <v>110319.97</v>
      </c>
      <c r="O15" s="21">
        <f t="shared" si="4"/>
        <v>519526.81</v>
      </c>
      <c r="P15" s="21">
        <f t="shared" si="4"/>
        <v>936358.6</v>
      </c>
      <c r="Q15" s="21">
        <f t="shared" si="4"/>
        <v>119531.44</v>
      </c>
      <c r="R15" s="21">
        <f t="shared" si="4"/>
        <v>598134.04</v>
      </c>
      <c r="S15" s="21">
        <f t="shared" si="4"/>
        <v>91018.02</v>
      </c>
      <c r="T15" s="21">
        <f t="shared" si="4"/>
        <v>96967.55</v>
      </c>
      <c r="U15" s="21">
        <f t="shared" si="4"/>
        <v>99664.86</v>
      </c>
      <c r="V15" s="21">
        <f t="shared" si="4"/>
        <v>320667.81</v>
      </c>
      <c r="W15" s="21">
        <f t="shared" si="4"/>
        <v>312564.31</v>
      </c>
      <c r="X15" s="21">
        <f t="shared" si="4"/>
        <v>299164.47</v>
      </c>
      <c r="Y15" s="21">
        <f t="shared" si="4"/>
        <v>334809.45</v>
      </c>
      <c r="Z15" s="21">
        <f t="shared" si="4"/>
        <v>409473.69</v>
      </c>
      <c r="AA15" s="67">
        <f t="shared" si="4"/>
        <v>279395.29</v>
      </c>
      <c r="AB15" s="71">
        <f t="shared" si="2"/>
        <v>6607357.449999999</v>
      </c>
    </row>
    <row r="16" spans="1:28" s="1" customFormat="1" ht="12.75">
      <c r="A16" s="124"/>
      <c r="B16" s="131"/>
      <c r="C16" s="126"/>
      <c r="D16" s="9" t="s">
        <v>3</v>
      </c>
      <c r="E16" s="22">
        <f>+E14</f>
        <v>448672.77</v>
      </c>
      <c r="F16" s="22">
        <f aca="true" t="shared" si="5" ref="F16:AA16">+F14</f>
        <v>206865.41</v>
      </c>
      <c r="G16" s="22">
        <f t="shared" si="5"/>
        <v>316949.26</v>
      </c>
      <c r="H16" s="22">
        <f t="shared" si="5"/>
        <v>280752.45</v>
      </c>
      <c r="I16" s="22">
        <f t="shared" si="5"/>
        <v>169151.28</v>
      </c>
      <c r="J16" s="22">
        <f t="shared" si="5"/>
        <v>40599.47</v>
      </c>
      <c r="K16" s="22">
        <f t="shared" si="5"/>
        <v>43437.85</v>
      </c>
      <c r="L16" s="22">
        <f t="shared" si="5"/>
        <v>220539.21</v>
      </c>
      <c r="M16" s="22">
        <f t="shared" si="5"/>
        <v>49756.73</v>
      </c>
      <c r="N16" s="22">
        <f t="shared" si="5"/>
        <v>77021.09</v>
      </c>
      <c r="O16" s="22">
        <f t="shared" si="5"/>
        <v>433347.05</v>
      </c>
      <c r="P16" s="22">
        <f t="shared" si="5"/>
        <v>885065.33</v>
      </c>
      <c r="Q16" s="22">
        <f t="shared" si="5"/>
        <v>78446.65</v>
      </c>
      <c r="R16" s="22">
        <f t="shared" si="5"/>
        <v>461325.28</v>
      </c>
      <c r="S16" s="22">
        <f t="shared" si="5"/>
        <v>76440.1</v>
      </c>
      <c r="T16" s="22">
        <f t="shared" si="5"/>
        <v>89464.04</v>
      </c>
      <c r="U16" s="22">
        <f t="shared" si="5"/>
        <v>60450.66</v>
      </c>
      <c r="V16" s="22">
        <f t="shared" si="5"/>
        <v>276900.73</v>
      </c>
      <c r="W16" s="22">
        <f t="shared" si="5"/>
        <v>287769.16</v>
      </c>
      <c r="X16" s="22">
        <f t="shared" si="5"/>
        <v>273683.02</v>
      </c>
      <c r="Y16" s="22">
        <f t="shared" si="5"/>
        <v>223744.21</v>
      </c>
      <c r="Z16" s="22">
        <f t="shared" si="5"/>
        <v>364588.3</v>
      </c>
      <c r="AA16" s="22">
        <f t="shared" si="5"/>
        <v>226230.98</v>
      </c>
      <c r="AB16" s="71">
        <f t="shared" si="2"/>
        <v>5591201.030000001</v>
      </c>
    </row>
    <row r="17" spans="1:28" s="1" customFormat="1" ht="13.5" thickBot="1">
      <c r="A17" s="124"/>
      <c r="B17" s="131"/>
      <c r="C17" s="128"/>
      <c r="D17" s="13" t="s">
        <v>83</v>
      </c>
      <c r="E17" s="24">
        <f>E12+E13-E14</f>
        <v>446056.94999999995</v>
      </c>
      <c r="F17" s="42">
        <f aca="true" t="shared" si="6" ref="F17:O17">F12+F13-F14</f>
        <v>61817.04999999996</v>
      </c>
      <c r="G17" s="30">
        <f t="shared" si="6"/>
        <v>97927.81</v>
      </c>
      <c r="H17" s="30">
        <f t="shared" si="6"/>
        <v>217211.77999999997</v>
      </c>
      <c r="I17" s="24">
        <f t="shared" si="6"/>
        <v>116631.61000000002</v>
      </c>
      <c r="J17" s="24">
        <f t="shared" si="6"/>
        <v>28640.070000000007</v>
      </c>
      <c r="K17" s="24">
        <f t="shared" si="6"/>
        <v>91667.19</v>
      </c>
      <c r="L17" s="24">
        <f t="shared" si="6"/>
        <v>104738.63999999998</v>
      </c>
      <c r="M17" s="24">
        <f t="shared" si="6"/>
        <v>36895.46</v>
      </c>
      <c r="N17" s="24">
        <f t="shared" si="6"/>
        <v>69894.32</v>
      </c>
      <c r="O17" s="24">
        <f t="shared" si="6"/>
        <v>330271.91</v>
      </c>
      <c r="P17" s="24">
        <f>P12+P13-P14</f>
        <v>457266.04999999993</v>
      </c>
      <c r="Q17" s="24">
        <f aca="true" t="shared" si="7" ref="Q17:W17">Q12+Q13-Q14</f>
        <v>60065</v>
      </c>
      <c r="R17" s="24">
        <f t="shared" si="7"/>
        <v>437085.82000000007</v>
      </c>
      <c r="S17" s="24">
        <f t="shared" si="7"/>
        <v>17743.699999999997</v>
      </c>
      <c r="T17" s="24">
        <f t="shared" si="7"/>
        <v>19770.440000000017</v>
      </c>
      <c r="U17" s="24">
        <f t="shared" si="7"/>
        <v>79440.48000000001</v>
      </c>
      <c r="V17" s="24">
        <f t="shared" si="7"/>
        <v>179976.22000000003</v>
      </c>
      <c r="W17" s="24">
        <f t="shared" si="7"/>
        <v>65003.80000000005</v>
      </c>
      <c r="X17" s="24">
        <f>X12+X13-X14</f>
        <v>106016.33999999997</v>
      </c>
      <c r="Y17" s="24">
        <f>Y12+Y13-Y14</f>
        <v>270400.19000000006</v>
      </c>
      <c r="Z17" s="24">
        <f>Z12+Z13-Z14</f>
        <v>190382.3</v>
      </c>
      <c r="AA17" s="76">
        <f>AA12+AA13-AA14</f>
        <v>112316.88999999998</v>
      </c>
      <c r="AB17" s="73">
        <f>SUM(E17:AA17)</f>
        <v>3597220.0199999996</v>
      </c>
    </row>
    <row r="18" spans="1:28" s="4" customFormat="1" ht="12.75">
      <c r="A18" s="123">
        <v>2</v>
      </c>
      <c r="B18" s="131"/>
      <c r="C18" s="129" t="s">
        <v>38</v>
      </c>
      <c r="D18" s="14" t="s">
        <v>84</v>
      </c>
      <c r="E18" s="25">
        <v>377.73</v>
      </c>
      <c r="F18" s="25">
        <v>-61.72</v>
      </c>
      <c r="G18" s="25">
        <v>-64.17</v>
      </c>
      <c r="H18" s="25">
        <v>153.29</v>
      </c>
      <c r="I18" s="25">
        <v>87.21</v>
      </c>
      <c r="J18" s="25">
        <v>16.386</v>
      </c>
      <c r="K18" s="25">
        <v>225.83</v>
      </c>
      <c r="L18" s="25">
        <v>-77.3</v>
      </c>
      <c r="M18" s="25">
        <v>-31.82</v>
      </c>
      <c r="N18" s="25">
        <v>151.67</v>
      </c>
      <c r="O18" s="25">
        <v>430.64</v>
      </c>
      <c r="P18" s="25">
        <v>349.71</v>
      </c>
      <c r="Q18" s="25">
        <v>-37.44</v>
      </c>
      <c r="R18" s="25">
        <v>575.3</v>
      </c>
      <c r="S18" s="25">
        <v>-27.05</v>
      </c>
      <c r="T18" s="25">
        <v>-31.4</v>
      </c>
      <c r="U18" s="25">
        <v>56.34</v>
      </c>
      <c r="V18" s="25">
        <v>213.12</v>
      </c>
      <c r="W18" s="25">
        <v>-33.65</v>
      </c>
      <c r="X18" s="25">
        <v>87.44</v>
      </c>
      <c r="Y18" s="25">
        <v>243.16</v>
      </c>
      <c r="Z18" s="25">
        <v>75.85</v>
      </c>
      <c r="AA18" s="66">
        <v>-80.58</v>
      </c>
      <c r="AB18" s="70">
        <f t="shared" si="2"/>
        <v>2598.5459999999994</v>
      </c>
    </row>
    <row r="19" spans="1:28" s="4" customFormat="1" ht="12.75">
      <c r="A19" s="123"/>
      <c r="B19" s="131"/>
      <c r="C19" s="126"/>
      <c r="D19" s="9" t="s">
        <v>1</v>
      </c>
      <c r="E19" s="21">
        <v>-282.86</v>
      </c>
      <c r="F19" s="21">
        <v>65.8</v>
      </c>
      <c r="G19" s="21">
        <v>77.64</v>
      </c>
      <c r="H19" s="21">
        <v>-141.47</v>
      </c>
      <c r="I19" s="21">
        <v>-71.32</v>
      </c>
      <c r="J19" s="21">
        <v>0</v>
      </c>
      <c r="K19" s="21">
        <v>-225.42</v>
      </c>
      <c r="L19" s="21">
        <v>146.81</v>
      </c>
      <c r="M19" s="21">
        <v>38.88</v>
      </c>
      <c r="N19" s="21">
        <v>-145.89</v>
      </c>
      <c r="O19" s="21">
        <v>-305.48</v>
      </c>
      <c r="P19" s="21">
        <v>-48.61</v>
      </c>
      <c r="Q19" s="21">
        <v>42.25</v>
      </c>
      <c r="R19" s="21">
        <v>-406.83</v>
      </c>
      <c r="S19" s="21">
        <v>30.89</v>
      </c>
      <c r="T19" s="21">
        <v>32.66</v>
      </c>
      <c r="U19" s="21">
        <v>-32.88</v>
      </c>
      <c r="V19" s="21">
        <v>-163.13</v>
      </c>
      <c r="W19" s="21">
        <v>37.21</v>
      </c>
      <c r="X19" s="21">
        <v>-1.07</v>
      </c>
      <c r="Y19" s="21">
        <v>-193.33</v>
      </c>
      <c r="Z19" s="21">
        <v>-69.1</v>
      </c>
      <c r="AA19" s="67">
        <v>84.06</v>
      </c>
      <c r="AB19" s="71">
        <f t="shared" si="2"/>
        <v>-1531.1899999999998</v>
      </c>
    </row>
    <row r="20" spans="1:28" s="4" customFormat="1" ht="12.75">
      <c r="A20" s="123"/>
      <c r="B20" s="131"/>
      <c r="C20" s="126"/>
      <c r="D20" s="9" t="s">
        <v>2</v>
      </c>
      <c r="E20" s="21">
        <v>94.87</v>
      </c>
      <c r="F20" s="21">
        <v>4.08</v>
      </c>
      <c r="G20" s="21">
        <v>13.47</v>
      </c>
      <c r="H20" s="21">
        <v>11.82</v>
      </c>
      <c r="I20" s="21">
        <v>15.89</v>
      </c>
      <c r="J20" s="21">
        <v>16.86</v>
      </c>
      <c r="K20" s="21">
        <v>0.41</v>
      </c>
      <c r="L20" s="21">
        <v>69.51</v>
      </c>
      <c r="M20" s="21">
        <v>7.06</v>
      </c>
      <c r="N20" s="21">
        <v>5.78</v>
      </c>
      <c r="O20" s="21">
        <v>125.16</v>
      </c>
      <c r="P20" s="21">
        <v>301.1</v>
      </c>
      <c r="Q20" s="21">
        <v>4.81</v>
      </c>
      <c r="R20" s="21">
        <v>168.47</v>
      </c>
      <c r="S20" s="21">
        <v>3.84</v>
      </c>
      <c r="T20" s="21">
        <v>1.26</v>
      </c>
      <c r="U20" s="21">
        <v>23.46</v>
      </c>
      <c r="V20" s="21">
        <v>49.99</v>
      </c>
      <c r="W20" s="21">
        <v>3.56</v>
      </c>
      <c r="X20" s="21">
        <v>86.37</v>
      </c>
      <c r="Y20" s="21">
        <v>49.82</v>
      </c>
      <c r="Z20" s="21">
        <v>6.75</v>
      </c>
      <c r="AA20" s="67">
        <v>3.48</v>
      </c>
      <c r="AB20" s="72">
        <f t="shared" si="2"/>
        <v>1067.82</v>
      </c>
    </row>
    <row r="21" spans="1:28" s="4" customFormat="1" ht="12.75">
      <c r="A21" s="123"/>
      <c r="B21" s="131"/>
      <c r="C21" s="126"/>
      <c r="D21" s="9" t="s">
        <v>4</v>
      </c>
      <c r="E21" s="21">
        <f>+E19</f>
        <v>-282.86</v>
      </c>
      <c r="F21" s="21">
        <f aca="true" t="shared" si="8" ref="F21:AA21">+F19</f>
        <v>65.8</v>
      </c>
      <c r="G21" s="21">
        <f t="shared" si="8"/>
        <v>77.64</v>
      </c>
      <c r="H21" s="21">
        <f t="shared" si="8"/>
        <v>-141.47</v>
      </c>
      <c r="I21" s="21">
        <f t="shared" si="8"/>
        <v>-71.32</v>
      </c>
      <c r="J21" s="21">
        <f t="shared" si="8"/>
        <v>0</v>
      </c>
      <c r="K21" s="21">
        <f t="shared" si="8"/>
        <v>-225.42</v>
      </c>
      <c r="L21" s="21">
        <f t="shared" si="8"/>
        <v>146.81</v>
      </c>
      <c r="M21" s="21">
        <f t="shared" si="8"/>
        <v>38.88</v>
      </c>
      <c r="N21" s="21">
        <f t="shared" si="8"/>
        <v>-145.89</v>
      </c>
      <c r="O21" s="21">
        <f t="shared" si="8"/>
        <v>-305.48</v>
      </c>
      <c r="P21" s="21">
        <f t="shared" si="8"/>
        <v>-48.61</v>
      </c>
      <c r="Q21" s="21">
        <f t="shared" si="8"/>
        <v>42.25</v>
      </c>
      <c r="R21" s="21">
        <f t="shared" si="8"/>
        <v>-406.83</v>
      </c>
      <c r="S21" s="21">
        <f t="shared" si="8"/>
        <v>30.89</v>
      </c>
      <c r="T21" s="21">
        <f t="shared" si="8"/>
        <v>32.66</v>
      </c>
      <c r="U21" s="21">
        <f t="shared" si="8"/>
        <v>-32.88</v>
      </c>
      <c r="V21" s="21">
        <f t="shared" si="8"/>
        <v>-163.13</v>
      </c>
      <c r="W21" s="21">
        <f t="shared" si="8"/>
        <v>37.21</v>
      </c>
      <c r="X21" s="21">
        <f t="shared" si="8"/>
        <v>-1.07</v>
      </c>
      <c r="Y21" s="21">
        <f t="shared" si="8"/>
        <v>-193.33</v>
      </c>
      <c r="Z21" s="21">
        <f t="shared" si="8"/>
        <v>-69.1</v>
      </c>
      <c r="AA21" s="67">
        <f t="shared" si="8"/>
        <v>84.06</v>
      </c>
      <c r="AB21" s="71">
        <f t="shared" si="2"/>
        <v>-1531.1899999999998</v>
      </c>
    </row>
    <row r="22" spans="1:28" s="4" customFormat="1" ht="12.75">
      <c r="A22" s="123"/>
      <c r="B22" s="131"/>
      <c r="C22" s="126"/>
      <c r="D22" s="9" t="s">
        <v>3</v>
      </c>
      <c r="E22" s="22">
        <f>+E20</f>
        <v>94.87</v>
      </c>
      <c r="F22" s="47">
        <f aca="true" t="shared" si="9" ref="F22:AA22">+F20</f>
        <v>4.08</v>
      </c>
      <c r="G22" s="22">
        <f t="shared" si="9"/>
        <v>13.47</v>
      </c>
      <c r="H22" s="22">
        <f t="shared" si="9"/>
        <v>11.82</v>
      </c>
      <c r="I22" s="22">
        <f t="shared" si="9"/>
        <v>15.89</v>
      </c>
      <c r="J22" s="22">
        <f t="shared" si="9"/>
        <v>16.86</v>
      </c>
      <c r="K22" s="22">
        <f t="shared" si="9"/>
        <v>0.41</v>
      </c>
      <c r="L22" s="22">
        <f t="shared" si="9"/>
        <v>69.51</v>
      </c>
      <c r="M22" s="22">
        <f t="shared" si="9"/>
        <v>7.06</v>
      </c>
      <c r="N22" s="22">
        <f t="shared" si="9"/>
        <v>5.78</v>
      </c>
      <c r="O22" s="22">
        <f t="shared" si="9"/>
        <v>125.16</v>
      </c>
      <c r="P22" s="22">
        <f t="shared" si="9"/>
        <v>301.1</v>
      </c>
      <c r="Q22" s="22">
        <f t="shared" si="9"/>
        <v>4.81</v>
      </c>
      <c r="R22" s="22">
        <f t="shared" si="9"/>
        <v>168.47</v>
      </c>
      <c r="S22" s="22">
        <f t="shared" si="9"/>
        <v>3.84</v>
      </c>
      <c r="T22" s="22">
        <f t="shared" si="9"/>
        <v>1.26</v>
      </c>
      <c r="U22" s="22">
        <f t="shared" si="9"/>
        <v>23.46</v>
      </c>
      <c r="V22" s="22">
        <f t="shared" si="9"/>
        <v>49.99</v>
      </c>
      <c r="W22" s="22">
        <f t="shared" si="9"/>
        <v>3.56</v>
      </c>
      <c r="X22" s="22">
        <f t="shared" si="9"/>
        <v>86.37</v>
      </c>
      <c r="Y22" s="22">
        <f t="shared" si="9"/>
        <v>49.82</v>
      </c>
      <c r="Z22" s="22">
        <f t="shared" si="9"/>
        <v>6.75</v>
      </c>
      <c r="AA22" s="68">
        <f t="shared" si="9"/>
        <v>3.48</v>
      </c>
      <c r="AB22" s="71">
        <f t="shared" si="2"/>
        <v>1067.82</v>
      </c>
    </row>
    <row r="23" spans="1:28" s="1" customFormat="1" ht="13.5" thickBot="1">
      <c r="A23" s="123"/>
      <c r="B23" s="132"/>
      <c r="C23" s="127"/>
      <c r="D23" s="13" t="s">
        <v>83</v>
      </c>
      <c r="E23" s="23">
        <f>E18+E19-E20</f>
        <v>0</v>
      </c>
      <c r="F23" s="41">
        <f>F18+F19-F20</f>
        <v>0</v>
      </c>
      <c r="G23" s="29">
        <f aca="true" t="shared" si="10" ref="G23:AA23">G18+G19-G20</f>
        <v>0</v>
      </c>
      <c r="H23" s="29">
        <f t="shared" si="10"/>
        <v>0</v>
      </c>
      <c r="I23" s="23">
        <f t="shared" si="10"/>
        <v>0</v>
      </c>
      <c r="J23" s="23">
        <f t="shared" si="10"/>
        <v>-0.4740000000000002</v>
      </c>
      <c r="K23" s="23">
        <f t="shared" si="10"/>
        <v>2.503552920529728E-14</v>
      </c>
      <c r="L23" s="23">
        <f t="shared" si="10"/>
        <v>0</v>
      </c>
      <c r="M23" s="23">
        <f t="shared" si="10"/>
        <v>0</v>
      </c>
      <c r="N23" s="23">
        <f t="shared" si="10"/>
        <v>0</v>
      </c>
      <c r="O23" s="23">
        <f t="shared" si="10"/>
        <v>0</v>
      </c>
      <c r="P23" s="23">
        <f>P18+P19-P20</f>
        <v>0</v>
      </c>
      <c r="Q23" s="23">
        <f t="shared" si="10"/>
        <v>0</v>
      </c>
      <c r="R23" s="23">
        <f t="shared" si="10"/>
        <v>0</v>
      </c>
      <c r="S23" s="23">
        <f t="shared" si="10"/>
        <v>0</v>
      </c>
      <c r="T23" s="23">
        <f t="shared" si="10"/>
        <v>-1.9984014443252818E-15</v>
      </c>
      <c r="U23" s="23">
        <f t="shared" si="10"/>
        <v>0</v>
      </c>
      <c r="V23" s="23">
        <f t="shared" si="10"/>
        <v>0</v>
      </c>
      <c r="W23" s="23">
        <f t="shared" si="10"/>
        <v>0</v>
      </c>
      <c r="X23" s="23">
        <f>X18+X19-X20</f>
        <v>0</v>
      </c>
      <c r="Y23" s="23">
        <f>Y18+Y19-Y20</f>
        <v>0.0099999999999838</v>
      </c>
      <c r="Z23" s="23">
        <f t="shared" si="10"/>
        <v>0</v>
      </c>
      <c r="AA23" s="69">
        <f t="shared" si="10"/>
        <v>3.9968028886505635E-15</v>
      </c>
      <c r="AB23" s="73">
        <f t="shared" si="2"/>
        <v>-0.46399999999998937</v>
      </c>
    </row>
    <row r="24" spans="1:28" s="4" customFormat="1" ht="12.75" customHeight="1">
      <c r="A24" s="123">
        <v>5</v>
      </c>
      <c r="B24" s="130" t="s">
        <v>48</v>
      </c>
      <c r="C24" s="125" t="s">
        <v>9</v>
      </c>
      <c r="D24" s="14" t="s">
        <v>84</v>
      </c>
      <c r="E24" s="26"/>
      <c r="F24" s="20"/>
      <c r="G24" s="20"/>
      <c r="H24" s="26"/>
      <c r="I24" s="20"/>
      <c r="J24" s="26">
        <v>140346.21</v>
      </c>
      <c r="K24" s="28">
        <v>355447.41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77"/>
      <c r="AB24" s="79">
        <f aca="true" t="shared" si="11" ref="AB24:AB41">SUM(E24:AA24)</f>
        <v>495793.62</v>
      </c>
    </row>
    <row r="25" spans="1:28" s="4" customFormat="1" ht="12.75">
      <c r="A25" s="123"/>
      <c r="B25" s="131"/>
      <c r="C25" s="126"/>
      <c r="D25" s="9" t="s">
        <v>1</v>
      </c>
      <c r="E25" s="27"/>
      <c r="F25" s="21"/>
      <c r="G25" s="21"/>
      <c r="H25" s="27"/>
      <c r="I25" s="21"/>
      <c r="J25" s="27">
        <v>754901.46</v>
      </c>
      <c r="K25" s="27">
        <v>723778.8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67"/>
      <c r="AB25" s="80">
        <f t="shared" si="11"/>
        <v>1478680.26</v>
      </c>
    </row>
    <row r="26" spans="1:28" s="4" customFormat="1" ht="12.75">
      <c r="A26" s="123"/>
      <c r="B26" s="131"/>
      <c r="C26" s="126"/>
      <c r="D26" s="9" t="s">
        <v>2</v>
      </c>
      <c r="E26" s="27"/>
      <c r="F26" s="21"/>
      <c r="G26" s="21"/>
      <c r="H26" s="27"/>
      <c r="I26" s="21"/>
      <c r="J26" s="27">
        <v>741022.13</v>
      </c>
      <c r="K26" s="27">
        <v>622588.54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67"/>
      <c r="AB26" s="81">
        <f t="shared" si="11"/>
        <v>1363610.67</v>
      </c>
    </row>
    <row r="27" spans="1:28" s="4" customFormat="1" ht="12.75">
      <c r="A27" s="123"/>
      <c r="B27" s="131"/>
      <c r="C27" s="126"/>
      <c r="D27" s="9" t="s">
        <v>4</v>
      </c>
      <c r="E27" s="21"/>
      <c r="F27" s="21"/>
      <c r="G27" s="21"/>
      <c r="H27" s="21"/>
      <c r="I27" s="21"/>
      <c r="J27" s="21">
        <f>+J25</f>
        <v>754901.46</v>
      </c>
      <c r="K27" s="21">
        <f>+K25</f>
        <v>723778.8</v>
      </c>
      <c r="L27" s="21"/>
      <c r="M27" s="21"/>
      <c r="N27" s="21"/>
      <c r="O27" s="21">
        <f aca="true" t="shared" si="12" ref="O27:R28">+O25</f>
        <v>0</v>
      </c>
      <c r="P27" s="21">
        <f t="shared" si="12"/>
        <v>0</v>
      </c>
      <c r="Q27" s="21">
        <f t="shared" si="12"/>
        <v>0</v>
      </c>
      <c r="R27" s="21">
        <f t="shared" si="12"/>
        <v>0</v>
      </c>
      <c r="S27" s="21"/>
      <c r="T27" s="21"/>
      <c r="U27" s="21"/>
      <c r="V27" s="21"/>
      <c r="W27" s="21"/>
      <c r="X27" s="21"/>
      <c r="Y27" s="21"/>
      <c r="Z27" s="21"/>
      <c r="AA27" s="67"/>
      <c r="AB27" s="80">
        <f t="shared" si="11"/>
        <v>1478680.26</v>
      </c>
    </row>
    <row r="28" spans="1:28" s="4" customFormat="1" ht="12.75">
      <c r="A28" s="123"/>
      <c r="B28" s="131"/>
      <c r="C28" s="126"/>
      <c r="D28" s="9" t="s">
        <v>3</v>
      </c>
      <c r="E28" s="22"/>
      <c r="F28" s="47"/>
      <c r="G28" s="22"/>
      <c r="H28" s="22"/>
      <c r="I28" s="22"/>
      <c r="J28" s="22">
        <f>+J26</f>
        <v>741022.13</v>
      </c>
      <c r="K28" s="22">
        <f>+K26</f>
        <v>622588.54</v>
      </c>
      <c r="L28" s="22"/>
      <c r="M28" s="22"/>
      <c r="N28" s="22"/>
      <c r="O28" s="22">
        <f t="shared" si="12"/>
        <v>0</v>
      </c>
      <c r="P28" s="22">
        <f t="shared" si="12"/>
        <v>0</v>
      </c>
      <c r="Q28" s="22">
        <f t="shared" si="12"/>
        <v>0</v>
      </c>
      <c r="R28" s="22">
        <f t="shared" si="12"/>
        <v>0</v>
      </c>
      <c r="S28" s="22"/>
      <c r="T28" s="22"/>
      <c r="U28" s="22"/>
      <c r="V28" s="22"/>
      <c r="W28" s="22"/>
      <c r="X28" s="22"/>
      <c r="Y28" s="22"/>
      <c r="Z28" s="22"/>
      <c r="AA28" s="68"/>
      <c r="AB28" s="80">
        <f t="shared" si="11"/>
        <v>1363610.67</v>
      </c>
    </row>
    <row r="29" spans="1:28" s="1" customFormat="1" ht="13.5" thickBot="1">
      <c r="A29" s="123"/>
      <c r="B29" s="131"/>
      <c r="C29" s="128"/>
      <c r="D29" s="13" t="s">
        <v>83</v>
      </c>
      <c r="E29" s="23">
        <f aca="true" t="shared" si="13" ref="E29:J29">E24+E25-E26</f>
        <v>0</v>
      </c>
      <c r="F29" s="41">
        <f t="shared" si="13"/>
        <v>0</v>
      </c>
      <c r="G29" s="23">
        <f t="shared" si="13"/>
        <v>0</v>
      </c>
      <c r="H29" s="23">
        <f t="shared" si="13"/>
        <v>0</v>
      </c>
      <c r="I29" s="23">
        <f t="shared" si="13"/>
        <v>0</v>
      </c>
      <c r="J29" s="29">
        <f t="shared" si="13"/>
        <v>154225.53999999992</v>
      </c>
      <c r="K29" s="29">
        <f>K24+K25-K26</f>
        <v>456637.6699999999</v>
      </c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78"/>
      <c r="AB29" s="83">
        <f t="shared" si="11"/>
        <v>610863.2099999998</v>
      </c>
    </row>
    <row r="30" spans="1:28" s="4" customFormat="1" ht="12.75">
      <c r="A30" s="123">
        <v>6</v>
      </c>
      <c r="B30" s="131"/>
      <c r="C30" s="129" t="s">
        <v>11</v>
      </c>
      <c r="D30" s="14" t="s">
        <v>84</v>
      </c>
      <c r="E30" s="28"/>
      <c r="F30" s="25"/>
      <c r="G30" s="25"/>
      <c r="H30" s="28"/>
      <c r="I30" s="25"/>
      <c r="J30" s="26">
        <v>23295.39</v>
      </c>
      <c r="K30" s="26">
        <v>92781.8</v>
      </c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66"/>
      <c r="AB30" s="79">
        <f t="shared" si="11"/>
        <v>116077.19</v>
      </c>
    </row>
    <row r="31" spans="1:28" s="4" customFormat="1" ht="12.75">
      <c r="A31" s="123"/>
      <c r="B31" s="131"/>
      <c r="C31" s="126"/>
      <c r="D31" s="9" t="s">
        <v>1</v>
      </c>
      <c r="E31" s="27"/>
      <c r="F31" s="21"/>
      <c r="G31" s="21"/>
      <c r="H31" s="27"/>
      <c r="I31" s="21"/>
      <c r="J31" s="27">
        <v>53494.32</v>
      </c>
      <c r="K31" s="27">
        <v>97108.23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67"/>
      <c r="AB31" s="80">
        <f t="shared" si="11"/>
        <v>150602.55</v>
      </c>
    </row>
    <row r="32" spans="1:28" s="4" customFormat="1" ht="12.75">
      <c r="A32" s="123"/>
      <c r="B32" s="131"/>
      <c r="C32" s="126"/>
      <c r="D32" s="9" t="s">
        <v>2</v>
      </c>
      <c r="E32" s="27"/>
      <c r="F32" s="21"/>
      <c r="G32" s="21"/>
      <c r="H32" s="27"/>
      <c r="I32" s="21"/>
      <c r="J32" s="27">
        <v>48027.54</v>
      </c>
      <c r="K32" s="27">
        <v>72520.64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67"/>
      <c r="AB32" s="81">
        <f t="shared" si="11"/>
        <v>120548.18</v>
      </c>
    </row>
    <row r="33" spans="1:28" s="4" customFormat="1" ht="12.75">
      <c r="A33" s="123"/>
      <c r="B33" s="131"/>
      <c r="C33" s="126"/>
      <c r="D33" s="9" t="s">
        <v>4</v>
      </c>
      <c r="E33" s="21"/>
      <c r="F33" s="21"/>
      <c r="G33" s="21"/>
      <c r="H33" s="21"/>
      <c r="I33" s="21"/>
      <c r="J33" s="21">
        <f>+J31</f>
        <v>53494.32</v>
      </c>
      <c r="K33" s="21">
        <f>+K31</f>
        <v>97108.23</v>
      </c>
      <c r="L33" s="21"/>
      <c r="M33" s="21"/>
      <c r="N33" s="21"/>
      <c r="O33" s="21">
        <f aca="true" t="shared" si="14" ref="O33:R34">+O31</f>
        <v>0</v>
      </c>
      <c r="P33" s="21">
        <f t="shared" si="14"/>
        <v>0</v>
      </c>
      <c r="Q33" s="21">
        <f t="shared" si="14"/>
        <v>0</v>
      </c>
      <c r="R33" s="21">
        <f t="shared" si="14"/>
        <v>0</v>
      </c>
      <c r="S33" s="21"/>
      <c r="T33" s="21"/>
      <c r="U33" s="21"/>
      <c r="V33" s="21"/>
      <c r="W33" s="21"/>
      <c r="X33" s="21"/>
      <c r="Y33" s="21"/>
      <c r="Z33" s="21"/>
      <c r="AA33" s="67"/>
      <c r="AB33" s="80">
        <f t="shared" si="11"/>
        <v>150602.55</v>
      </c>
    </row>
    <row r="34" spans="1:28" s="4" customFormat="1" ht="12.75">
      <c r="A34" s="123"/>
      <c r="B34" s="131"/>
      <c r="C34" s="126"/>
      <c r="D34" s="9" t="s">
        <v>3</v>
      </c>
      <c r="E34" s="22"/>
      <c r="F34" s="47"/>
      <c r="G34" s="22"/>
      <c r="H34" s="22"/>
      <c r="I34" s="22"/>
      <c r="J34" s="22">
        <f>+J32</f>
        <v>48027.54</v>
      </c>
      <c r="K34" s="22">
        <f>+K32</f>
        <v>72520.64</v>
      </c>
      <c r="L34" s="22"/>
      <c r="M34" s="22"/>
      <c r="N34" s="22"/>
      <c r="O34" s="22">
        <f t="shared" si="14"/>
        <v>0</v>
      </c>
      <c r="P34" s="22">
        <f t="shared" si="14"/>
        <v>0</v>
      </c>
      <c r="Q34" s="22">
        <f t="shared" si="14"/>
        <v>0</v>
      </c>
      <c r="R34" s="22">
        <f t="shared" si="14"/>
        <v>0</v>
      </c>
      <c r="S34" s="22"/>
      <c r="T34" s="22"/>
      <c r="U34" s="22"/>
      <c r="V34" s="22"/>
      <c r="W34" s="22"/>
      <c r="X34" s="22"/>
      <c r="Y34" s="22"/>
      <c r="Z34" s="22"/>
      <c r="AA34" s="68"/>
      <c r="AB34" s="80">
        <f t="shared" si="11"/>
        <v>120548.18</v>
      </c>
    </row>
    <row r="35" spans="1:28" s="1" customFormat="1" ht="15" customHeight="1" thickBot="1">
      <c r="A35" s="123"/>
      <c r="B35" s="131"/>
      <c r="C35" s="127"/>
      <c r="D35" s="13" t="s">
        <v>83</v>
      </c>
      <c r="E35" s="23">
        <f aca="true" t="shared" si="15" ref="E35:K35">E30+E31-E32</f>
        <v>0</v>
      </c>
      <c r="F35" s="41">
        <f t="shared" si="15"/>
        <v>0</v>
      </c>
      <c r="G35" s="23">
        <f t="shared" si="15"/>
        <v>0</v>
      </c>
      <c r="H35" s="23">
        <f t="shared" si="15"/>
        <v>0</v>
      </c>
      <c r="I35" s="23">
        <f t="shared" si="15"/>
        <v>0</v>
      </c>
      <c r="J35" s="29">
        <f t="shared" si="15"/>
        <v>28762.16999999999</v>
      </c>
      <c r="K35" s="29">
        <f t="shared" si="15"/>
        <v>117369.39</v>
      </c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84"/>
      <c r="AB35" s="83">
        <f t="shared" si="11"/>
        <v>146131.56</v>
      </c>
    </row>
    <row r="36" spans="1:28" s="1" customFormat="1" ht="15" customHeight="1">
      <c r="A36" s="124"/>
      <c r="B36" s="131"/>
      <c r="C36" s="125" t="s">
        <v>39</v>
      </c>
      <c r="D36" s="14" t="s">
        <v>84</v>
      </c>
      <c r="E36" s="26"/>
      <c r="F36" s="20"/>
      <c r="G36" s="20"/>
      <c r="H36" s="26"/>
      <c r="I36" s="20"/>
      <c r="J36" s="28">
        <v>26.36</v>
      </c>
      <c r="K36" s="28">
        <v>348.69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77"/>
      <c r="AB36" s="79">
        <f t="shared" si="11"/>
        <v>375.05</v>
      </c>
    </row>
    <row r="37" spans="1:28" s="1" customFormat="1" ht="15" customHeight="1">
      <c r="A37" s="124"/>
      <c r="B37" s="131"/>
      <c r="C37" s="126"/>
      <c r="D37" s="9" t="s">
        <v>1</v>
      </c>
      <c r="E37" s="27"/>
      <c r="F37" s="21"/>
      <c r="G37" s="21"/>
      <c r="H37" s="27"/>
      <c r="I37" s="21"/>
      <c r="J37" s="27">
        <v>0</v>
      </c>
      <c r="K37" s="27">
        <v>-348.09</v>
      </c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67"/>
      <c r="AB37" s="80">
        <f t="shared" si="11"/>
        <v>-348.09</v>
      </c>
    </row>
    <row r="38" spans="1:28" s="1" customFormat="1" ht="15" customHeight="1">
      <c r="A38" s="124"/>
      <c r="B38" s="131"/>
      <c r="C38" s="126"/>
      <c r="D38" s="9" t="s">
        <v>2</v>
      </c>
      <c r="E38" s="27"/>
      <c r="F38" s="21"/>
      <c r="G38" s="21"/>
      <c r="H38" s="27"/>
      <c r="I38" s="21"/>
      <c r="J38" s="27">
        <v>26.36</v>
      </c>
      <c r="K38" s="27">
        <v>0.6</v>
      </c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67"/>
      <c r="AB38" s="81">
        <f t="shared" si="11"/>
        <v>26.96</v>
      </c>
    </row>
    <row r="39" spans="1:28" s="1" customFormat="1" ht="15" customHeight="1">
      <c r="A39" s="124"/>
      <c r="B39" s="131"/>
      <c r="C39" s="126"/>
      <c r="D39" s="9" t="s">
        <v>4</v>
      </c>
      <c r="E39" s="21"/>
      <c r="F39" s="21"/>
      <c r="G39" s="21"/>
      <c r="H39" s="21"/>
      <c r="I39" s="21"/>
      <c r="J39" s="21">
        <f>+J37</f>
        <v>0</v>
      </c>
      <c r="K39" s="21">
        <f>+K37</f>
        <v>-348.09</v>
      </c>
      <c r="L39" s="21"/>
      <c r="M39" s="21"/>
      <c r="N39" s="21"/>
      <c r="O39" s="21">
        <f aca="true" t="shared" si="16" ref="O39:R40">+O37</f>
        <v>0</v>
      </c>
      <c r="P39" s="21">
        <f t="shared" si="16"/>
        <v>0</v>
      </c>
      <c r="Q39" s="21">
        <f t="shared" si="16"/>
        <v>0</v>
      </c>
      <c r="R39" s="21">
        <f t="shared" si="16"/>
        <v>0</v>
      </c>
      <c r="S39" s="21"/>
      <c r="T39" s="21"/>
      <c r="U39" s="21"/>
      <c r="V39" s="21"/>
      <c r="W39" s="21"/>
      <c r="X39" s="21"/>
      <c r="Y39" s="21"/>
      <c r="Z39" s="21"/>
      <c r="AA39" s="67"/>
      <c r="AB39" s="80">
        <f t="shared" si="11"/>
        <v>-348.09</v>
      </c>
    </row>
    <row r="40" spans="1:28" s="1" customFormat="1" ht="15" customHeight="1">
      <c r="A40" s="124"/>
      <c r="B40" s="131"/>
      <c r="C40" s="126"/>
      <c r="D40" s="9" t="s">
        <v>3</v>
      </c>
      <c r="E40" s="22"/>
      <c r="F40" s="47"/>
      <c r="G40" s="22"/>
      <c r="H40" s="22"/>
      <c r="I40" s="22"/>
      <c r="J40" s="22">
        <f>+J38</f>
        <v>26.36</v>
      </c>
      <c r="K40" s="22">
        <f>+K38</f>
        <v>0.6</v>
      </c>
      <c r="L40" s="22"/>
      <c r="M40" s="22"/>
      <c r="N40" s="22"/>
      <c r="O40" s="22">
        <f t="shared" si="16"/>
        <v>0</v>
      </c>
      <c r="P40" s="22">
        <f t="shared" si="16"/>
        <v>0</v>
      </c>
      <c r="Q40" s="22">
        <f t="shared" si="16"/>
        <v>0</v>
      </c>
      <c r="R40" s="22">
        <f t="shared" si="16"/>
        <v>0</v>
      </c>
      <c r="S40" s="22"/>
      <c r="T40" s="22"/>
      <c r="U40" s="22"/>
      <c r="V40" s="22"/>
      <c r="W40" s="22"/>
      <c r="X40" s="22"/>
      <c r="Y40" s="22"/>
      <c r="Z40" s="22"/>
      <c r="AA40" s="68"/>
      <c r="AB40" s="80">
        <f t="shared" si="11"/>
        <v>26.96</v>
      </c>
    </row>
    <row r="41" spans="1:28" s="1" customFormat="1" ht="15" customHeight="1" thickBot="1">
      <c r="A41" s="124"/>
      <c r="B41" s="132"/>
      <c r="C41" s="128"/>
      <c r="D41" s="13" t="s">
        <v>83</v>
      </c>
      <c r="E41" s="23">
        <f aca="true" t="shared" si="17" ref="E41:K41">E36+E37-E38</f>
        <v>0</v>
      </c>
      <c r="F41" s="41">
        <f t="shared" si="17"/>
        <v>0</v>
      </c>
      <c r="G41" s="23">
        <f t="shared" si="17"/>
        <v>0</v>
      </c>
      <c r="H41" s="23">
        <f t="shared" si="17"/>
        <v>0</v>
      </c>
      <c r="I41" s="23">
        <f t="shared" si="17"/>
        <v>0</v>
      </c>
      <c r="J41" s="29">
        <f t="shared" si="17"/>
        <v>0</v>
      </c>
      <c r="K41" s="29">
        <f t="shared" si="17"/>
        <v>2.275957200481571E-14</v>
      </c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29"/>
      <c r="AA41" s="78"/>
      <c r="AB41" s="83">
        <f t="shared" si="11"/>
        <v>2.275957200481571E-14</v>
      </c>
    </row>
    <row r="42" spans="1:28" s="4" customFormat="1" ht="12.75" customHeight="1">
      <c r="A42" s="123">
        <v>5</v>
      </c>
      <c r="B42" s="138" t="s">
        <v>10</v>
      </c>
      <c r="C42" s="133" t="s">
        <v>9</v>
      </c>
      <c r="D42" s="14" t="s">
        <v>84</v>
      </c>
      <c r="E42" s="26">
        <v>664977.97</v>
      </c>
      <c r="F42" s="25">
        <v>179120.65</v>
      </c>
      <c r="G42" s="25">
        <v>123883.94</v>
      </c>
      <c r="H42" s="28">
        <v>342727.95</v>
      </c>
      <c r="I42" s="25">
        <v>139293.4</v>
      </c>
      <c r="J42" s="26"/>
      <c r="K42" s="43"/>
      <c r="L42" s="25">
        <v>110599.64</v>
      </c>
      <c r="M42" s="25">
        <v>39045.83</v>
      </c>
      <c r="N42" s="25">
        <v>233525.05</v>
      </c>
      <c r="O42" s="25">
        <v>633192.36</v>
      </c>
      <c r="P42" s="25">
        <v>1017135.49</v>
      </c>
      <c r="Q42" s="25">
        <v>32784.07</v>
      </c>
      <c r="R42" s="25">
        <v>974329.9</v>
      </c>
      <c r="S42" s="25">
        <v>20376.21</v>
      </c>
      <c r="T42" s="25">
        <v>27070.72</v>
      </c>
      <c r="U42" s="25">
        <v>116050.76</v>
      </c>
      <c r="V42" s="25">
        <v>491155.87</v>
      </c>
      <c r="W42" s="25">
        <v>235046.35</v>
      </c>
      <c r="X42" s="25">
        <v>376631.2</v>
      </c>
      <c r="Y42" s="25">
        <v>542237.53</v>
      </c>
      <c r="Z42" s="20">
        <v>172790.1</v>
      </c>
      <c r="AA42" s="66">
        <v>46374.91</v>
      </c>
      <c r="AB42" s="79">
        <f t="shared" si="2"/>
        <v>6518349.899999999</v>
      </c>
    </row>
    <row r="43" spans="1:28" s="4" customFormat="1" ht="12.75">
      <c r="A43" s="123"/>
      <c r="B43" s="139"/>
      <c r="C43" s="134"/>
      <c r="D43" s="9" t="s">
        <v>1</v>
      </c>
      <c r="E43" s="27">
        <v>2759261.87</v>
      </c>
      <c r="F43" s="21">
        <v>2601486.75</v>
      </c>
      <c r="G43" s="21">
        <v>1996181.04</v>
      </c>
      <c r="H43" s="27">
        <v>1814528.17</v>
      </c>
      <c r="I43" s="21">
        <v>2386755.55</v>
      </c>
      <c r="J43" s="27"/>
      <c r="K43" s="44"/>
      <c r="L43" s="21">
        <v>2297433.53</v>
      </c>
      <c r="M43" s="21">
        <v>412841.77</v>
      </c>
      <c r="N43" s="21">
        <v>632798.52</v>
      </c>
      <c r="O43" s="21">
        <v>4158299.22</v>
      </c>
      <c r="P43" s="21">
        <v>7340146.31</v>
      </c>
      <c r="Q43" s="21">
        <v>494816.18</v>
      </c>
      <c r="R43" s="21">
        <v>4153687.7</v>
      </c>
      <c r="S43" s="21">
        <v>1127776.36</v>
      </c>
      <c r="T43" s="21">
        <v>600323.55</v>
      </c>
      <c r="U43" s="21">
        <v>1035684.55</v>
      </c>
      <c r="V43" s="21">
        <v>2792643.77</v>
      </c>
      <c r="W43" s="21">
        <v>2718136.32</v>
      </c>
      <c r="X43" s="21">
        <v>2766592.53</v>
      </c>
      <c r="Y43" s="21">
        <v>2738511.67</v>
      </c>
      <c r="Z43" s="21">
        <v>1953972.54</v>
      </c>
      <c r="AA43" s="67">
        <v>2737412.77</v>
      </c>
      <c r="AB43" s="80">
        <f t="shared" si="2"/>
        <v>49519290.67</v>
      </c>
    </row>
    <row r="44" spans="1:28" s="4" customFormat="1" ht="12.75">
      <c r="A44" s="123"/>
      <c r="B44" s="139"/>
      <c r="C44" s="134"/>
      <c r="D44" s="9" t="s">
        <v>2</v>
      </c>
      <c r="E44" s="27">
        <v>4338616.86</v>
      </c>
      <c r="F44" s="21">
        <v>2818241.1</v>
      </c>
      <c r="G44" s="21">
        <v>2774932.04</v>
      </c>
      <c r="H44" s="27">
        <v>2551383.64</v>
      </c>
      <c r="I44" s="21">
        <v>2179101.44</v>
      </c>
      <c r="J44" s="27"/>
      <c r="K44" s="44"/>
      <c r="L44" s="21">
        <v>3001901.88</v>
      </c>
      <c r="M44" s="21">
        <v>688781.18</v>
      </c>
      <c r="N44" s="21">
        <v>922796.6</v>
      </c>
      <c r="O44" s="21">
        <v>5643202.02</v>
      </c>
      <c r="P44" s="21">
        <v>10398107.93</v>
      </c>
      <c r="Q44" s="21">
        <v>707106.43</v>
      </c>
      <c r="R44" s="21">
        <v>5777519.51</v>
      </c>
      <c r="S44" s="21">
        <v>1039380.28</v>
      </c>
      <c r="T44" s="21">
        <v>1082035.45</v>
      </c>
      <c r="U44" s="21">
        <v>903844.69</v>
      </c>
      <c r="V44" s="21">
        <v>2629125.48</v>
      </c>
      <c r="W44" s="21">
        <v>2720303</v>
      </c>
      <c r="X44" s="21">
        <v>2693693.68</v>
      </c>
      <c r="Y44" s="21">
        <v>2681832.44</v>
      </c>
      <c r="Z44" s="21">
        <v>2740348.89</v>
      </c>
      <c r="AA44" s="67">
        <v>2720653.62</v>
      </c>
      <c r="AB44" s="81">
        <f t="shared" si="2"/>
        <v>61012908.15999999</v>
      </c>
    </row>
    <row r="45" spans="1:28" s="4" customFormat="1" ht="12.75">
      <c r="A45" s="123"/>
      <c r="B45" s="139"/>
      <c r="C45" s="134"/>
      <c r="D45" s="9" t="s">
        <v>4</v>
      </c>
      <c r="E45" s="21">
        <f>+E43</f>
        <v>2759261.87</v>
      </c>
      <c r="F45" s="21">
        <f aca="true" t="shared" si="18" ref="F45:AA45">+F43</f>
        <v>2601486.75</v>
      </c>
      <c r="G45" s="21">
        <f t="shared" si="18"/>
        <v>1996181.04</v>
      </c>
      <c r="H45" s="21">
        <f t="shared" si="18"/>
        <v>1814528.17</v>
      </c>
      <c r="I45" s="21">
        <f t="shared" si="18"/>
        <v>2386755.55</v>
      </c>
      <c r="J45" s="21">
        <f t="shared" si="18"/>
        <v>0</v>
      </c>
      <c r="K45" s="21">
        <f t="shared" si="18"/>
        <v>0</v>
      </c>
      <c r="L45" s="21">
        <f t="shared" si="18"/>
        <v>2297433.53</v>
      </c>
      <c r="M45" s="21">
        <f t="shared" si="18"/>
        <v>412841.77</v>
      </c>
      <c r="N45" s="21">
        <f t="shared" si="18"/>
        <v>632798.52</v>
      </c>
      <c r="O45" s="21">
        <f t="shared" si="18"/>
        <v>4158299.22</v>
      </c>
      <c r="P45" s="21">
        <f t="shared" si="18"/>
        <v>7340146.31</v>
      </c>
      <c r="Q45" s="21">
        <f t="shared" si="18"/>
        <v>494816.18</v>
      </c>
      <c r="R45" s="21">
        <f t="shared" si="18"/>
        <v>4153687.7</v>
      </c>
      <c r="S45" s="21">
        <f t="shared" si="18"/>
        <v>1127776.36</v>
      </c>
      <c r="T45" s="21">
        <f t="shared" si="18"/>
        <v>600323.55</v>
      </c>
      <c r="U45" s="21">
        <f t="shared" si="18"/>
        <v>1035684.55</v>
      </c>
      <c r="V45" s="21">
        <f t="shared" si="18"/>
        <v>2792643.77</v>
      </c>
      <c r="W45" s="21">
        <f t="shared" si="18"/>
        <v>2718136.32</v>
      </c>
      <c r="X45" s="21">
        <f t="shared" si="18"/>
        <v>2766592.53</v>
      </c>
      <c r="Y45" s="21">
        <f t="shared" si="18"/>
        <v>2738511.67</v>
      </c>
      <c r="Z45" s="21">
        <f t="shared" si="18"/>
        <v>1953972.54</v>
      </c>
      <c r="AA45" s="67">
        <f t="shared" si="18"/>
        <v>2737412.77</v>
      </c>
      <c r="AB45" s="80">
        <f t="shared" si="2"/>
        <v>49519290.67</v>
      </c>
    </row>
    <row r="46" spans="1:28" s="4" customFormat="1" ht="12.75">
      <c r="A46" s="123"/>
      <c r="B46" s="139"/>
      <c r="C46" s="134"/>
      <c r="D46" s="9" t="s">
        <v>3</v>
      </c>
      <c r="E46" s="22">
        <f>+E44</f>
        <v>4338616.86</v>
      </c>
      <c r="F46" s="47">
        <f aca="true" t="shared" si="19" ref="F46:AA46">+F44</f>
        <v>2818241.1</v>
      </c>
      <c r="G46" s="22">
        <f t="shared" si="19"/>
        <v>2774932.04</v>
      </c>
      <c r="H46" s="22">
        <f t="shared" si="19"/>
        <v>2551383.64</v>
      </c>
      <c r="I46" s="22">
        <f t="shared" si="19"/>
        <v>2179101.44</v>
      </c>
      <c r="J46" s="22">
        <f t="shared" si="19"/>
        <v>0</v>
      </c>
      <c r="K46" s="22">
        <f t="shared" si="19"/>
        <v>0</v>
      </c>
      <c r="L46" s="22">
        <f t="shared" si="19"/>
        <v>3001901.88</v>
      </c>
      <c r="M46" s="22">
        <f t="shared" si="19"/>
        <v>688781.18</v>
      </c>
      <c r="N46" s="22">
        <f>N44</f>
        <v>922796.6</v>
      </c>
      <c r="O46" s="22">
        <f t="shared" si="19"/>
        <v>5643202.02</v>
      </c>
      <c r="P46" s="22">
        <f t="shared" si="19"/>
        <v>10398107.93</v>
      </c>
      <c r="Q46" s="22">
        <f t="shared" si="19"/>
        <v>707106.43</v>
      </c>
      <c r="R46" s="22">
        <f t="shared" si="19"/>
        <v>5777519.51</v>
      </c>
      <c r="S46" s="22">
        <f t="shared" si="19"/>
        <v>1039380.28</v>
      </c>
      <c r="T46" s="22">
        <f t="shared" si="19"/>
        <v>1082035.45</v>
      </c>
      <c r="U46" s="22">
        <f t="shared" si="19"/>
        <v>903844.69</v>
      </c>
      <c r="V46" s="22">
        <f t="shared" si="19"/>
        <v>2629125.48</v>
      </c>
      <c r="W46" s="22">
        <f t="shared" si="19"/>
        <v>2720303</v>
      </c>
      <c r="X46" s="22">
        <f t="shared" si="19"/>
        <v>2693693.68</v>
      </c>
      <c r="Y46" s="22">
        <f t="shared" si="19"/>
        <v>2681832.44</v>
      </c>
      <c r="Z46" s="22">
        <f t="shared" si="19"/>
        <v>2740348.89</v>
      </c>
      <c r="AA46" s="68">
        <f t="shared" si="19"/>
        <v>2720653.62</v>
      </c>
      <c r="AB46" s="80">
        <f t="shared" si="2"/>
        <v>61012908.15999999</v>
      </c>
    </row>
    <row r="47" spans="1:28" s="1" customFormat="1" ht="13.5" thickBot="1">
      <c r="A47" s="123"/>
      <c r="B47" s="139"/>
      <c r="C47" s="135"/>
      <c r="D47" s="13" t="s">
        <v>83</v>
      </c>
      <c r="E47" s="29">
        <f>E42+E43-E44</f>
        <v>-914377.0200000005</v>
      </c>
      <c r="F47" s="41">
        <f aca="true" t="shared" si="20" ref="F47:AA47">F42+F43-F44</f>
        <v>-37633.700000000186</v>
      </c>
      <c r="G47" s="29">
        <f>G42+G43-G44</f>
        <v>-654867.06</v>
      </c>
      <c r="H47" s="29">
        <f>H42+H43-H44</f>
        <v>-394127.52</v>
      </c>
      <c r="I47" s="29">
        <f t="shared" si="20"/>
        <v>346947.5099999998</v>
      </c>
      <c r="J47" s="29">
        <f>J42+J43-J44</f>
        <v>0</v>
      </c>
      <c r="K47" s="29">
        <f>K42+K43-K44</f>
        <v>0</v>
      </c>
      <c r="L47" s="29">
        <f t="shared" si="20"/>
        <v>-593868.71</v>
      </c>
      <c r="M47" s="29">
        <f t="shared" si="20"/>
        <v>-236893.58000000002</v>
      </c>
      <c r="N47" s="29">
        <f t="shared" si="20"/>
        <v>-56473.02999999991</v>
      </c>
      <c r="O47" s="29">
        <f t="shared" si="20"/>
        <v>-851710.4399999995</v>
      </c>
      <c r="P47" s="29">
        <f>P42+P43-P44</f>
        <v>-2040826.13</v>
      </c>
      <c r="Q47" s="29">
        <f t="shared" si="20"/>
        <v>-179506.18000000005</v>
      </c>
      <c r="R47" s="29">
        <f t="shared" si="20"/>
        <v>-649501.9099999992</v>
      </c>
      <c r="S47" s="29">
        <f t="shared" si="20"/>
        <v>108772.29000000004</v>
      </c>
      <c r="T47" s="29">
        <f t="shared" si="20"/>
        <v>-454641.17999999993</v>
      </c>
      <c r="U47" s="29">
        <f t="shared" si="20"/>
        <v>247890.6200000001</v>
      </c>
      <c r="V47" s="29">
        <f t="shared" si="20"/>
        <v>654674.1600000001</v>
      </c>
      <c r="W47" s="29">
        <f t="shared" si="20"/>
        <v>232879.66999999993</v>
      </c>
      <c r="X47" s="29">
        <f>X42+X43-X44</f>
        <v>449530.0499999998</v>
      </c>
      <c r="Y47" s="29">
        <f>Y42+Y43-Y44</f>
        <v>598916.7600000002</v>
      </c>
      <c r="Z47" s="29">
        <f t="shared" si="20"/>
        <v>-613586.25</v>
      </c>
      <c r="AA47" s="84">
        <f t="shared" si="20"/>
        <v>63134.060000000056</v>
      </c>
      <c r="AB47" s="83">
        <f t="shared" si="2"/>
        <v>-4975267.589999998</v>
      </c>
    </row>
    <row r="48" spans="1:28" s="4" customFormat="1" ht="12.75">
      <c r="A48" s="123">
        <v>6</v>
      </c>
      <c r="B48" s="139"/>
      <c r="C48" s="136" t="s">
        <v>11</v>
      </c>
      <c r="D48" s="14" t="s">
        <v>84</v>
      </c>
      <c r="E48" s="28">
        <v>482153.35</v>
      </c>
      <c r="F48" s="20">
        <v>85870.87</v>
      </c>
      <c r="G48" s="20">
        <v>141251.96</v>
      </c>
      <c r="H48" s="26">
        <v>224804.1</v>
      </c>
      <c r="I48" s="20">
        <v>137737.27</v>
      </c>
      <c r="J48" s="26"/>
      <c r="K48" s="26"/>
      <c r="L48" s="20">
        <v>157520.68</v>
      </c>
      <c r="M48" s="20">
        <v>35301.73</v>
      </c>
      <c r="N48" s="25">
        <v>48344.91</v>
      </c>
      <c r="O48" s="20">
        <v>309841.37</v>
      </c>
      <c r="P48" s="20">
        <v>526898.94</v>
      </c>
      <c r="Q48" s="20">
        <v>22968.65</v>
      </c>
      <c r="R48" s="20">
        <v>426951.14</v>
      </c>
      <c r="S48" s="20">
        <v>28022.9</v>
      </c>
      <c r="T48" s="20">
        <v>28746.67</v>
      </c>
      <c r="U48" s="20">
        <v>55731.76</v>
      </c>
      <c r="V48" s="20">
        <v>175494.49</v>
      </c>
      <c r="W48" s="20">
        <v>91493.92</v>
      </c>
      <c r="X48" s="20">
        <v>146595.61</v>
      </c>
      <c r="Y48" s="20">
        <v>244020.26</v>
      </c>
      <c r="Z48" s="20">
        <v>182681.08</v>
      </c>
      <c r="AA48" s="77">
        <v>126919.36</v>
      </c>
      <c r="AB48" s="79">
        <f t="shared" si="2"/>
        <v>3679351.019999999</v>
      </c>
    </row>
    <row r="49" spans="1:28" s="4" customFormat="1" ht="12.75">
      <c r="A49" s="123"/>
      <c r="B49" s="139"/>
      <c r="C49" s="134"/>
      <c r="D49" s="9" t="s">
        <v>1</v>
      </c>
      <c r="E49" s="27">
        <v>788168.51</v>
      </c>
      <c r="F49" s="21">
        <v>417851.64</v>
      </c>
      <c r="G49" s="21">
        <v>489831.76</v>
      </c>
      <c r="H49" s="27">
        <v>520037.51</v>
      </c>
      <c r="I49" s="21">
        <v>296804.88</v>
      </c>
      <c r="J49" s="27"/>
      <c r="K49" s="27"/>
      <c r="L49" s="21">
        <v>425800.84</v>
      </c>
      <c r="M49" s="21">
        <v>90888.99</v>
      </c>
      <c r="N49" s="21">
        <v>147616.73</v>
      </c>
      <c r="O49" s="21">
        <v>814264.86</v>
      </c>
      <c r="P49" s="21">
        <v>1389597.73</v>
      </c>
      <c r="Q49" s="21">
        <v>156787.36</v>
      </c>
      <c r="R49" s="21">
        <v>859812.29</v>
      </c>
      <c r="S49" s="21">
        <v>142883.98</v>
      </c>
      <c r="T49" s="21">
        <v>160053.41</v>
      </c>
      <c r="U49" s="21">
        <v>131205.75</v>
      </c>
      <c r="V49" s="21">
        <v>484918.28</v>
      </c>
      <c r="W49" s="21">
        <v>440447.4</v>
      </c>
      <c r="X49" s="21">
        <v>481880.31</v>
      </c>
      <c r="Y49" s="21">
        <v>488067.92</v>
      </c>
      <c r="Z49" s="21">
        <v>609707.04</v>
      </c>
      <c r="AA49" s="67">
        <v>454627.56</v>
      </c>
      <c r="AB49" s="80">
        <f t="shared" si="2"/>
        <v>9791254.750000002</v>
      </c>
    </row>
    <row r="50" spans="1:28" s="4" customFormat="1" ht="12.75">
      <c r="A50" s="123"/>
      <c r="B50" s="139"/>
      <c r="C50" s="134"/>
      <c r="D50" s="9" t="s">
        <v>2</v>
      </c>
      <c r="E50" s="27">
        <v>690029.27</v>
      </c>
      <c r="F50" s="21">
        <v>360771.29</v>
      </c>
      <c r="G50" s="21">
        <v>476408.39</v>
      </c>
      <c r="H50" s="27">
        <v>456659.88</v>
      </c>
      <c r="I50" s="21">
        <v>269293.64</v>
      </c>
      <c r="J50" s="27"/>
      <c r="K50" s="27"/>
      <c r="L50" s="21">
        <v>416026.11</v>
      </c>
      <c r="M50" s="21">
        <v>76082.52</v>
      </c>
      <c r="N50" s="21">
        <v>109228.06</v>
      </c>
      <c r="O50" s="21">
        <v>708462.84</v>
      </c>
      <c r="P50" s="21">
        <v>1351902.39</v>
      </c>
      <c r="Q50" s="21">
        <v>101872.11</v>
      </c>
      <c r="R50" s="21">
        <v>717813.2</v>
      </c>
      <c r="S50" s="21">
        <v>131614.84</v>
      </c>
      <c r="T50" s="21">
        <v>154108.75</v>
      </c>
      <c r="U50" s="21">
        <v>82759.86</v>
      </c>
      <c r="V50" s="21">
        <v>412617.73</v>
      </c>
      <c r="W50" s="21">
        <v>415567.07</v>
      </c>
      <c r="X50" s="21">
        <v>468933.7</v>
      </c>
      <c r="Y50" s="21">
        <v>374728.1</v>
      </c>
      <c r="Z50" s="21">
        <v>535903.84</v>
      </c>
      <c r="AA50" s="67">
        <v>397320.13</v>
      </c>
      <c r="AB50" s="81">
        <f t="shared" si="2"/>
        <v>8708103.72</v>
      </c>
    </row>
    <row r="51" spans="1:28" s="4" customFormat="1" ht="12.75">
      <c r="A51" s="123"/>
      <c r="B51" s="139"/>
      <c r="C51" s="134"/>
      <c r="D51" s="9" t="s">
        <v>4</v>
      </c>
      <c r="E51" s="21">
        <f>+E49</f>
        <v>788168.51</v>
      </c>
      <c r="F51" s="21">
        <f aca="true" t="shared" si="21" ref="F51:Y51">+F49</f>
        <v>417851.64</v>
      </c>
      <c r="G51" s="21">
        <f t="shared" si="21"/>
        <v>489831.76</v>
      </c>
      <c r="H51" s="21">
        <f t="shared" si="21"/>
        <v>520037.51</v>
      </c>
      <c r="I51" s="21">
        <f t="shared" si="21"/>
        <v>296804.88</v>
      </c>
      <c r="J51" s="21"/>
      <c r="K51" s="21"/>
      <c r="L51" s="21">
        <f t="shared" si="21"/>
        <v>425800.84</v>
      </c>
      <c r="M51" s="21">
        <f t="shared" si="21"/>
        <v>90888.99</v>
      </c>
      <c r="N51" s="21">
        <f t="shared" si="21"/>
        <v>147616.73</v>
      </c>
      <c r="O51" s="21">
        <f t="shared" si="21"/>
        <v>814264.86</v>
      </c>
      <c r="P51" s="21">
        <f t="shared" si="21"/>
        <v>1389597.73</v>
      </c>
      <c r="Q51" s="21">
        <f t="shared" si="21"/>
        <v>156787.36</v>
      </c>
      <c r="R51" s="21">
        <f t="shared" si="21"/>
        <v>859812.29</v>
      </c>
      <c r="S51" s="21">
        <f t="shared" si="21"/>
        <v>142883.98</v>
      </c>
      <c r="T51" s="21">
        <f t="shared" si="21"/>
        <v>160053.41</v>
      </c>
      <c r="U51" s="21">
        <f t="shared" si="21"/>
        <v>131205.75</v>
      </c>
      <c r="V51" s="21">
        <f t="shared" si="21"/>
        <v>484918.28</v>
      </c>
      <c r="W51" s="21">
        <f t="shared" si="21"/>
        <v>440447.4</v>
      </c>
      <c r="X51" s="21">
        <f t="shared" si="21"/>
        <v>481880.31</v>
      </c>
      <c r="Y51" s="21">
        <f t="shared" si="21"/>
        <v>488067.92</v>
      </c>
      <c r="Z51" s="21">
        <f>+Z49</f>
        <v>609707.04</v>
      </c>
      <c r="AA51" s="67">
        <f>+AA49</f>
        <v>454627.56</v>
      </c>
      <c r="AB51" s="80">
        <f t="shared" si="2"/>
        <v>9791254.750000002</v>
      </c>
    </row>
    <row r="52" spans="1:28" s="4" customFormat="1" ht="12.75">
      <c r="A52" s="123"/>
      <c r="B52" s="139"/>
      <c r="C52" s="134"/>
      <c r="D52" s="9" t="s">
        <v>3</v>
      </c>
      <c r="E52" s="22">
        <f>+E50</f>
        <v>690029.27</v>
      </c>
      <c r="F52" s="47">
        <v>420834.09</v>
      </c>
      <c r="G52" s="22">
        <v>520778.24</v>
      </c>
      <c r="H52" s="22">
        <f aca="true" t="shared" si="22" ref="H52:Z52">+H50</f>
        <v>456659.88</v>
      </c>
      <c r="I52" s="22">
        <f t="shared" si="22"/>
        <v>269293.64</v>
      </c>
      <c r="J52" s="22"/>
      <c r="K52" s="22"/>
      <c r="L52" s="22">
        <v>491090.44</v>
      </c>
      <c r="M52" s="22">
        <f t="shared" si="22"/>
        <v>76082.52</v>
      </c>
      <c r="N52" s="22">
        <f t="shared" si="22"/>
        <v>109228.06</v>
      </c>
      <c r="O52" s="22">
        <f t="shared" si="22"/>
        <v>708462.84</v>
      </c>
      <c r="P52" s="22">
        <f t="shared" si="22"/>
        <v>1351902.39</v>
      </c>
      <c r="Q52" s="22">
        <f t="shared" si="22"/>
        <v>101872.11</v>
      </c>
      <c r="R52" s="22">
        <f t="shared" si="22"/>
        <v>717813.2</v>
      </c>
      <c r="S52" s="22">
        <v>146714.38</v>
      </c>
      <c r="T52" s="22">
        <f t="shared" si="22"/>
        <v>154108.75</v>
      </c>
      <c r="U52" s="22">
        <f t="shared" si="22"/>
        <v>82759.86</v>
      </c>
      <c r="V52" s="22">
        <f t="shared" si="22"/>
        <v>412617.73</v>
      </c>
      <c r="W52" s="22">
        <f t="shared" si="22"/>
        <v>415567.07</v>
      </c>
      <c r="X52" s="22">
        <f t="shared" si="22"/>
        <v>468933.7</v>
      </c>
      <c r="Y52" s="22">
        <f t="shared" si="22"/>
        <v>374728.1</v>
      </c>
      <c r="Z52" s="22">
        <f t="shared" si="22"/>
        <v>535903.84</v>
      </c>
      <c r="AA52" s="68">
        <v>409229.03</v>
      </c>
      <c r="AB52" s="80">
        <f t="shared" si="2"/>
        <v>8914609.14</v>
      </c>
    </row>
    <row r="53" spans="1:28" s="1" customFormat="1" ht="15" customHeight="1" thickBot="1">
      <c r="A53" s="123"/>
      <c r="B53" s="139"/>
      <c r="C53" s="137"/>
      <c r="D53" s="13" t="s">
        <v>83</v>
      </c>
      <c r="E53" s="29">
        <f>E48+E49-E50</f>
        <v>580292.5899999999</v>
      </c>
      <c r="F53" s="42">
        <f aca="true" t="shared" si="23" ref="F53:AA53">F48+F49-F50</f>
        <v>142951.22000000003</v>
      </c>
      <c r="G53" s="30">
        <f t="shared" si="23"/>
        <v>154675.32999999996</v>
      </c>
      <c r="H53" s="30">
        <f t="shared" si="23"/>
        <v>288181.73</v>
      </c>
      <c r="I53" s="30">
        <f t="shared" si="23"/>
        <v>165248.51</v>
      </c>
      <c r="J53" s="30">
        <f t="shared" si="23"/>
        <v>0</v>
      </c>
      <c r="K53" s="30">
        <f t="shared" si="23"/>
        <v>0</v>
      </c>
      <c r="L53" s="30">
        <f t="shared" si="23"/>
        <v>167295.41000000003</v>
      </c>
      <c r="M53" s="30">
        <f t="shared" si="23"/>
        <v>50108.2</v>
      </c>
      <c r="N53" s="30">
        <f t="shared" si="23"/>
        <v>86733.58000000002</v>
      </c>
      <c r="O53" s="30">
        <f t="shared" si="23"/>
        <v>415643.39</v>
      </c>
      <c r="P53" s="30">
        <f>P48+P49-P50</f>
        <v>564594.28</v>
      </c>
      <c r="Q53" s="30">
        <f t="shared" si="23"/>
        <v>77883.89999999998</v>
      </c>
      <c r="R53" s="30">
        <f t="shared" si="23"/>
        <v>568950.2300000002</v>
      </c>
      <c r="S53" s="30">
        <f t="shared" si="23"/>
        <v>39292.04000000001</v>
      </c>
      <c r="T53" s="30">
        <f>T48+T49-T50</f>
        <v>34691.330000000016</v>
      </c>
      <c r="U53" s="30">
        <f t="shared" si="23"/>
        <v>104177.65000000001</v>
      </c>
      <c r="V53" s="30">
        <f t="shared" si="23"/>
        <v>247795.04000000004</v>
      </c>
      <c r="W53" s="30">
        <f t="shared" si="23"/>
        <v>116374.25000000006</v>
      </c>
      <c r="X53" s="30">
        <f>X48+X49-X50</f>
        <v>159542.2199999999</v>
      </c>
      <c r="Y53" s="30">
        <f>Y48+Y49-Y50</f>
        <v>357360.07999999996</v>
      </c>
      <c r="Z53" s="30">
        <f t="shared" si="23"/>
        <v>256484.28000000003</v>
      </c>
      <c r="AA53" s="78">
        <f t="shared" si="23"/>
        <v>184226.79000000004</v>
      </c>
      <c r="AB53" s="83">
        <f t="shared" si="2"/>
        <v>4762502.049999999</v>
      </c>
    </row>
    <row r="54" spans="1:28" s="1" customFormat="1" ht="12.75" customHeight="1">
      <c r="A54" s="124"/>
      <c r="B54" s="139"/>
      <c r="C54" s="133" t="s">
        <v>41</v>
      </c>
      <c r="D54" s="14" t="s">
        <v>84</v>
      </c>
      <c r="E54" s="26">
        <v>605.47</v>
      </c>
      <c r="F54" s="25">
        <v>-96.5</v>
      </c>
      <c r="G54" s="25">
        <v>-100.03</v>
      </c>
      <c r="H54" s="28">
        <v>250.76</v>
      </c>
      <c r="I54" s="25">
        <v>143.86</v>
      </c>
      <c r="J54" s="28"/>
      <c r="K54" s="28"/>
      <c r="L54" s="25">
        <v>-145.87</v>
      </c>
      <c r="M54" s="25">
        <v>-49.67</v>
      </c>
      <c r="N54" s="25">
        <v>243.03</v>
      </c>
      <c r="O54" s="25">
        <v>340.39</v>
      </c>
      <c r="P54" s="25">
        <v>566.07</v>
      </c>
      <c r="Q54" s="25">
        <v>-58.56</v>
      </c>
      <c r="R54" s="25">
        <v>921.24</v>
      </c>
      <c r="S54" s="25">
        <v>-42.3</v>
      </c>
      <c r="T54" s="25">
        <v>-49.09</v>
      </c>
      <c r="U54" s="25">
        <v>89.4</v>
      </c>
      <c r="V54" s="25">
        <v>340.41</v>
      </c>
      <c r="W54" s="25">
        <v>-52.29</v>
      </c>
      <c r="X54" s="25">
        <v>142.97</v>
      </c>
      <c r="Y54" s="25">
        <v>386.611</v>
      </c>
      <c r="Z54" s="25">
        <v>123.01</v>
      </c>
      <c r="AA54" s="66">
        <v>-126.04</v>
      </c>
      <c r="AB54" s="79">
        <f t="shared" si="2"/>
        <v>3432.871</v>
      </c>
    </row>
    <row r="55" spans="1:28" s="1" customFormat="1" ht="12.75" customHeight="1">
      <c r="A55" s="124"/>
      <c r="B55" s="139"/>
      <c r="C55" s="134"/>
      <c r="D55" s="9" t="s">
        <v>1</v>
      </c>
      <c r="E55" s="27">
        <v>-456.25</v>
      </c>
      <c r="F55" s="21">
        <v>102.94</v>
      </c>
      <c r="G55" s="21">
        <v>121.34</v>
      </c>
      <c r="H55" s="27">
        <v>-232.23</v>
      </c>
      <c r="I55" s="21">
        <v>-118.86</v>
      </c>
      <c r="J55" s="27"/>
      <c r="K55" s="27"/>
      <c r="L55" s="21">
        <v>233.15</v>
      </c>
      <c r="M55" s="21">
        <v>60.79</v>
      </c>
      <c r="N55" s="21">
        <v>-233.98</v>
      </c>
      <c r="O55" s="21">
        <v>-143.71</v>
      </c>
      <c r="P55" s="21">
        <v>-85.76</v>
      </c>
      <c r="Q55" s="21">
        <v>66.08</v>
      </c>
      <c r="R55" s="21">
        <v>-655.43</v>
      </c>
      <c r="S55" s="21">
        <v>48.34</v>
      </c>
      <c r="T55" s="21">
        <v>51.06</v>
      </c>
      <c r="U55" s="21">
        <v>-52.35</v>
      </c>
      <c r="V55" s="21">
        <v>-261.61</v>
      </c>
      <c r="W55" s="21">
        <v>57.87</v>
      </c>
      <c r="X55" s="21">
        <v>-4.85</v>
      </c>
      <c r="Y55" s="21">
        <v>-308.21</v>
      </c>
      <c r="Z55" s="21">
        <v>-112.43</v>
      </c>
      <c r="AA55" s="67">
        <v>131.48</v>
      </c>
      <c r="AB55" s="80">
        <f t="shared" si="2"/>
        <v>-1792.6200000000001</v>
      </c>
    </row>
    <row r="56" spans="1:28" s="1" customFormat="1" ht="13.5" customHeight="1">
      <c r="A56" s="124"/>
      <c r="B56" s="139"/>
      <c r="C56" s="134"/>
      <c r="D56" s="9" t="s">
        <v>2</v>
      </c>
      <c r="E56" s="27">
        <v>149.22</v>
      </c>
      <c r="F56" s="21">
        <v>6.44</v>
      </c>
      <c r="G56" s="21">
        <v>21.31</v>
      </c>
      <c r="H56" s="27">
        <v>18.53</v>
      </c>
      <c r="I56" s="21">
        <v>25</v>
      </c>
      <c r="J56" s="27"/>
      <c r="K56" s="27"/>
      <c r="L56" s="21">
        <v>87.28</v>
      </c>
      <c r="M56" s="21">
        <v>11.12</v>
      </c>
      <c r="N56" s="45">
        <v>9.05</v>
      </c>
      <c r="O56" s="21">
        <v>196.68</v>
      </c>
      <c r="P56" s="21">
        <v>480.31</v>
      </c>
      <c r="Q56" s="21">
        <v>7.52</v>
      </c>
      <c r="R56" s="21">
        <v>265.81</v>
      </c>
      <c r="S56" s="21">
        <v>6.04</v>
      </c>
      <c r="T56" s="21">
        <v>1.97</v>
      </c>
      <c r="U56" s="21">
        <v>37.05</v>
      </c>
      <c r="V56" s="21">
        <v>78.8</v>
      </c>
      <c r="W56" s="21">
        <v>5.58</v>
      </c>
      <c r="X56" s="21">
        <v>138.12</v>
      </c>
      <c r="Y56" s="21">
        <v>78.4</v>
      </c>
      <c r="Z56" s="21">
        <v>10.58</v>
      </c>
      <c r="AA56" s="67">
        <v>5.44</v>
      </c>
      <c r="AB56" s="81">
        <f t="shared" si="2"/>
        <v>1640.25</v>
      </c>
    </row>
    <row r="57" spans="1:28" s="1" customFormat="1" ht="13.5" customHeight="1">
      <c r="A57" s="124"/>
      <c r="B57" s="139"/>
      <c r="C57" s="134"/>
      <c r="D57" s="9" t="s">
        <v>4</v>
      </c>
      <c r="E57" s="21">
        <f>+E55</f>
        <v>-456.25</v>
      </c>
      <c r="F57" s="21">
        <f aca="true" t="shared" si="24" ref="F57:AA57">+F55</f>
        <v>102.94</v>
      </c>
      <c r="G57" s="21">
        <f t="shared" si="24"/>
        <v>121.34</v>
      </c>
      <c r="H57" s="21">
        <f t="shared" si="24"/>
        <v>-232.23</v>
      </c>
      <c r="I57" s="21">
        <f t="shared" si="24"/>
        <v>-118.86</v>
      </c>
      <c r="J57" s="21"/>
      <c r="K57" s="21"/>
      <c r="L57" s="21">
        <f t="shared" si="24"/>
        <v>233.15</v>
      </c>
      <c r="M57" s="21">
        <f t="shared" si="24"/>
        <v>60.79</v>
      </c>
      <c r="N57" s="21">
        <f t="shared" si="24"/>
        <v>-233.98</v>
      </c>
      <c r="O57" s="21">
        <f t="shared" si="24"/>
        <v>-143.71</v>
      </c>
      <c r="P57" s="21">
        <f t="shared" si="24"/>
        <v>-85.76</v>
      </c>
      <c r="Q57" s="21">
        <f t="shared" si="24"/>
        <v>66.08</v>
      </c>
      <c r="R57" s="21">
        <f t="shared" si="24"/>
        <v>-655.43</v>
      </c>
      <c r="S57" s="21">
        <f t="shared" si="24"/>
        <v>48.34</v>
      </c>
      <c r="T57" s="21">
        <f t="shared" si="24"/>
        <v>51.06</v>
      </c>
      <c r="U57" s="21">
        <f t="shared" si="24"/>
        <v>-52.35</v>
      </c>
      <c r="V57" s="21">
        <f t="shared" si="24"/>
        <v>-261.61</v>
      </c>
      <c r="W57" s="21">
        <f t="shared" si="24"/>
        <v>57.87</v>
      </c>
      <c r="X57" s="21">
        <f t="shared" si="24"/>
        <v>-4.85</v>
      </c>
      <c r="Y57" s="21">
        <f t="shared" si="24"/>
        <v>-308.21</v>
      </c>
      <c r="Z57" s="21">
        <f t="shared" si="24"/>
        <v>-112.43</v>
      </c>
      <c r="AA57" s="67">
        <f t="shared" si="24"/>
        <v>131.48</v>
      </c>
      <c r="AB57" s="80">
        <f t="shared" si="2"/>
        <v>-1792.6200000000001</v>
      </c>
    </row>
    <row r="58" spans="1:28" s="1" customFormat="1" ht="12" customHeight="1">
      <c r="A58" s="124"/>
      <c r="B58" s="139"/>
      <c r="C58" s="134"/>
      <c r="D58" s="9" t="s">
        <v>3</v>
      </c>
      <c r="E58" s="22">
        <f>+E56</f>
        <v>149.22</v>
      </c>
      <c r="F58" s="47">
        <f aca="true" t="shared" si="25" ref="F58:AA58">+F56</f>
        <v>6.44</v>
      </c>
      <c r="G58" s="22">
        <f t="shared" si="25"/>
        <v>21.31</v>
      </c>
      <c r="H58" s="22">
        <f t="shared" si="25"/>
        <v>18.53</v>
      </c>
      <c r="I58" s="22">
        <f t="shared" si="25"/>
        <v>25</v>
      </c>
      <c r="J58" s="22"/>
      <c r="K58" s="22"/>
      <c r="L58" s="22">
        <f t="shared" si="25"/>
        <v>87.28</v>
      </c>
      <c r="M58" s="22">
        <f t="shared" si="25"/>
        <v>11.12</v>
      </c>
      <c r="N58" s="22">
        <f t="shared" si="25"/>
        <v>9.05</v>
      </c>
      <c r="O58" s="22">
        <f t="shared" si="25"/>
        <v>196.68</v>
      </c>
      <c r="P58" s="22">
        <f t="shared" si="25"/>
        <v>480.31</v>
      </c>
      <c r="Q58" s="22">
        <f t="shared" si="25"/>
        <v>7.52</v>
      </c>
      <c r="R58" s="22">
        <f t="shared" si="25"/>
        <v>265.81</v>
      </c>
      <c r="S58" s="22">
        <f t="shared" si="25"/>
        <v>6.04</v>
      </c>
      <c r="T58" s="22">
        <f t="shared" si="25"/>
        <v>1.97</v>
      </c>
      <c r="U58" s="22">
        <f t="shared" si="25"/>
        <v>37.05</v>
      </c>
      <c r="V58" s="22">
        <f t="shared" si="25"/>
        <v>78.8</v>
      </c>
      <c r="W58" s="22">
        <f t="shared" si="25"/>
        <v>5.58</v>
      </c>
      <c r="X58" s="22">
        <f t="shared" si="25"/>
        <v>138.12</v>
      </c>
      <c r="Y58" s="22">
        <f t="shared" si="25"/>
        <v>78.4</v>
      </c>
      <c r="Z58" s="22">
        <f t="shared" si="25"/>
        <v>10.58</v>
      </c>
      <c r="AA58" s="68">
        <f t="shared" si="25"/>
        <v>5.44</v>
      </c>
      <c r="AB58" s="80">
        <f t="shared" si="2"/>
        <v>1640.25</v>
      </c>
    </row>
    <row r="59" spans="1:28" s="1" customFormat="1" ht="15" customHeight="1" thickBot="1">
      <c r="A59" s="124"/>
      <c r="B59" s="139"/>
      <c r="C59" s="135"/>
      <c r="D59" s="13" t="s">
        <v>83</v>
      </c>
      <c r="E59" s="29">
        <f aca="true" t="shared" si="26" ref="E59:AA59">E54+E55-E56</f>
        <v>0</v>
      </c>
      <c r="F59" s="41">
        <f t="shared" si="26"/>
        <v>0</v>
      </c>
      <c r="G59" s="29">
        <f t="shared" si="26"/>
        <v>0</v>
      </c>
      <c r="H59" s="29">
        <f t="shared" si="26"/>
        <v>0</v>
      </c>
      <c r="I59" s="29">
        <f t="shared" si="26"/>
        <v>0</v>
      </c>
      <c r="J59" s="29">
        <f t="shared" si="26"/>
        <v>0</v>
      </c>
      <c r="K59" s="29">
        <f t="shared" si="26"/>
        <v>0</v>
      </c>
      <c r="L59" s="29">
        <f t="shared" si="26"/>
        <v>0</v>
      </c>
      <c r="M59" s="29">
        <f t="shared" si="26"/>
        <v>0</v>
      </c>
      <c r="N59" s="29">
        <f>N54+N55-N56</f>
        <v>0</v>
      </c>
      <c r="O59" s="29">
        <f t="shared" si="26"/>
        <v>0</v>
      </c>
      <c r="P59" s="29">
        <f t="shared" si="26"/>
        <v>0</v>
      </c>
      <c r="Q59" s="29">
        <f t="shared" si="26"/>
        <v>0</v>
      </c>
      <c r="R59" s="29">
        <f t="shared" si="26"/>
        <v>0</v>
      </c>
      <c r="S59" s="29">
        <f t="shared" si="26"/>
        <v>0</v>
      </c>
      <c r="T59" s="29">
        <f t="shared" si="26"/>
        <v>0</v>
      </c>
      <c r="U59" s="29">
        <f t="shared" si="26"/>
        <v>0</v>
      </c>
      <c r="V59" s="29">
        <f t="shared" si="26"/>
        <v>0</v>
      </c>
      <c r="W59" s="29">
        <f t="shared" si="26"/>
        <v>0</v>
      </c>
      <c r="X59" s="29">
        <f t="shared" si="26"/>
        <v>0</v>
      </c>
      <c r="Y59" s="29">
        <f t="shared" si="26"/>
        <v>0.0010000000000047748</v>
      </c>
      <c r="Z59" s="29">
        <f t="shared" si="26"/>
        <v>0</v>
      </c>
      <c r="AA59" s="84">
        <f t="shared" si="26"/>
        <v>-1.687538997430238E-14</v>
      </c>
      <c r="AB59" s="83">
        <f>SUM(E59:AA59)</f>
        <v>0.0009999999999878995</v>
      </c>
    </row>
    <row r="60" spans="1:28" s="1" customFormat="1" ht="12.75">
      <c r="A60" s="124"/>
      <c r="B60" s="139"/>
      <c r="C60" s="136" t="s">
        <v>47</v>
      </c>
      <c r="D60" s="14" t="s">
        <v>84</v>
      </c>
      <c r="E60" s="20">
        <f>3260.4-50.78-2550.57</f>
        <v>659.0499999999997</v>
      </c>
      <c r="F60" s="46">
        <v>0</v>
      </c>
      <c r="G60" s="26"/>
      <c r="H60" s="26"/>
      <c r="I60" s="26"/>
      <c r="J60" s="26"/>
      <c r="K60" s="26"/>
      <c r="L60" s="26"/>
      <c r="M60" s="26"/>
      <c r="N60" s="20">
        <f>3064.97-68.66</f>
        <v>2996.31</v>
      </c>
      <c r="O60" s="26">
        <f>-8265.52-2473.36</f>
        <v>-10738.880000000001</v>
      </c>
      <c r="P60" s="26">
        <f>-2261.64-5168.21</f>
        <v>-7429.85</v>
      </c>
      <c r="Q60" s="26"/>
      <c r="R60" s="26">
        <f>-6757.22-3508.65</f>
        <v>-10265.87</v>
      </c>
      <c r="S60" s="26"/>
      <c r="T60" s="26"/>
      <c r="U60" s="26"/>
      <c r="V60" s="26"/>
      <c r="W60" s="26"/>
      <c r="X60" s="26"/>
      <c r="Y60" s="26"/>
      <c r="Z60" s="26"/>
      <c r="AA60" s="88"/>
      <c r="AB60" s="79">
        <f aca="true" t="shared" si="27" ref="AB60:AB65">SUM(E60:AA60)</f>
        <v>-24779.240000000005</v>
      </c>
    </row>
    <row r="61" spans="1:28" s="1" customFormat="1" ht="12.75">
      <c r="A61" s="124"/>
      <c r="B61" s="139"/>
      <c r="C61" s="134"/>
      <c r="D61" s="9" t="s">
        <v>1</v>
      </c>
      <c r="E61" s="21">
        <f>-1332.82+50.78+2550.57</f>
        <v>1268.5300000000002</v>
      </c>
      <c r="F61" s="47"/>
      <c r="G61" s="27"/>
      <c r="H61" s="27"/>
      <c r="I61" s="27"/>
      <c r="J61" s="27"/>
      <c r="K61" s="27"/>
      <c r="L61" s="27"/>
      <c r="M61" s="27"/>
      <c r="N61" s="21">
        <f>-2950.51+68.66</f>
        <v>-2881.8500000000004</v>
      </c>
      <c r="O61" s="27">
        <f>8265.52+2473.36</f>
        <v>10738.880000000001</v>
      </c>
      <c r="P61" s="27">
        <f>2305.32+5168.74</f>
        <v>7474.0599999999995</v>
      </c>
      <c r="Q61" s="27"/>
      <c r="R61" s="27">
        <f>6757.22+3508.65</f>
        <v>10265.87</v>
      </c>
      <c r="S61" s="27"/>
      <c r="T61" s="27"/>
      <c r="U61" s="27"/>
      <c r="V61" s="27"/>
      <c r="W61" s="27"/>
      <c r="X61" s="27"/>
      <c r="Y61" s="27"/>
      <c r="Z61" s="27"/>
      <c r="AA61" s="91"/>
      <c r="AB61" s="80">
        <f t="shared" si="27"/>
        <v>26865.490000000005</v>
      </c>
    </row>
    <row r="62" spans="1:28" s="1" customFormat="1" ht="12.75">
      <c r="A62" s="124"/>
      <c r="B62" s="139"/>
      <c r="C62" s="134"/>
      <c r="D62" s="9" t="s">
        <v>2</v>
      </c>
      <c r="E62" s="21">
        <f>1927.42</f>
        <v>1927.42</v>
      </c>
      <c r="F62" s="47"/>
      <c r="G62" s="27"/>
      <c r="H62" s="27"/>
      <c r="I62" s="27"/>
      <c r="J62" s="27"/>
      <c r="K62" s="27"/>
      <c r="L62" s="27"/>
      <c r="M62" s="27"/>
      <c r="N62" s="21">
        <v>114.46</v>
      </c>
      <c r="O62" s="27">
        <v>0.02</v>
      </c>
      <c r="P62" s="27">
        <f>43.68+0.53</f>
        <v>44.21</v>
      </c>
      <c r="Q62" s="27"/>
      <c r="R62" s="27">
        <v>0.01</v>
      </c>
      <c r="S62" s="27"/>
      <c r="T62" s="27"/>
      <c r="U62" s="27"/>
      <c r="V62" s="27"/>
      <c r="W62" s="27"/>
      <c r="X62" s="27"/>
      <c r="Y62" s="27"/>
      <c r="Z62" s="27"/>
      <c r="AA62" s="91"/>
      <c r="AB62" s="81">
        <f t="shared" si="27"/>
        <v>2086.1200000000003</v>
      </c>
    </row>
    <row r="63" spans="1:28" s="1" customFormat="1" ht="12.75">
      <c r="A63" s="124"/>
      <c r="B63" s="139"/>
      <c r="C63" s="134"/>
      <c r="D63" s="9" t="s">
        <v>4</v>
      </c>
      <c r="E63" s="21">
        <f>+E61</f>
        <v>1268.5300000000002</v>
      </c>
      <c r="F63" s="21">
        <f aca="true" t="shared" si="28" ref="F63:R63">+F61</f>
        <v>0</v>
      </c>
      <c r="G63" s="21">
        <f t="shared" si="28"/>
        <v>0</v>
      </c>
      <c r="H63" s="21">
        <f t="shared" si="28"/>
        <v>0</v>
      </c>
      <c r="I63" s="21">
        <f t="shared" si="28"/>
        <v>0</v>
      </c>
      <c r="J63" s="21">
        <f t="shared" si="28"/>
        <v>0</v>
      </c>
      <c r="K63" s="21">
        <f t="shared" si="28"/>
        <v>0</v>
      </c>
      <c r="L63" s="21">
        <f t="shared" si="28"/>
        <v>0</v>
      </c>
      <c r="M63" s="21">
        <f t="shared" si="28"/>
        <v>0</v>
      </c>
      <c r="N63" s="21">
        <f t="shared" si="28"/>
        <v>-2881.8500000000004</v>
      </c>
      <c r="O63" s="21">
        <f t="shared" si="28"/>
        <v>10738.880000000001</v>
      </c>
      <c r="P63" s="21">
        <f t="shared" si="28"/>
        <v>7474.0599999999995</v>
      </c>
      <c r="Q63" s="21">
        <f t="shared" si="28"/>
        <v>0</v>
      </c>
      <c r="R63" s="21">
        <f t="shared" si="28"/>
        <v>10265.87</v>
      </c>
      <c r="S63" s="21"/>
      <c r="T63" s="21"/>
      <c r="U63" s="21"/>
      <c r="V63" s="21"/>
      <c r="W63" s="21"/>
      <c r="X63" s="21"/>
      <c r="Y63" s="21"/>
      <c r="Z63" s="21"/>
      <c r="AA63" s="67"/>
      <c r="AB63" s="80">
        <f t="shared" si="27"/>
        <v>26865.490000000005</v>
      </c>
    </row>
    <row r="64" spans="1:28" s="1" customFormat="1" ht="12.75">
      <c r="A64" s="124"/>
      <c r="B64" s="139"/>
      <c r="C64" s="134"/>
      <c r="D64" s="9" t="s">
        <v>3</v>
      </c>
      <c r="E64" s="22">
        <f>+E62</f>
        <v>1927.42</v>
      </c>
      <c r="F64" s="47">
        <f aca="true" t="shared" si="29" ref="F64:R64">+F62</f>
        <v>0</v>
      </c>
      <c r="G64" s="22">
        <f t="shared" si="29"/>
        <v>0</v>
      </c>
      <c r="H64" s="22">
        <f t="shared" si="29"/>
        <v>0</v>
      </c>
      <c r="I64" s="22">
        <f t="shared" si="29"/>
        <v>0</v>
      </c>
      <c r="J64" s="22">
        <f t="shared" si="29"/>
        <v>0</v>
      </c>
      <c r="K64" s="22">
        <f t="shared" si="29"/>
        <v>0</v>
      </c>
      <c r="L64" s="22">
        <f t="shared" si="29"/>
        <v>0</v>
      </c>
      <c r="M64" s="22">
        <f t="shared" si="29"/>
        <v>0</v>
      </c>
      <c r="N64" s="22">
        <f t="shared" si="29"/>
        <v>114.46</v>
      </c>
      <c r="O64" s="22">
        <f t="shared" si="29"/>
        <v>0.02</v>
      </c>
      <c r="P64" s="22">
        <f t="shared" si="29"/>
        <v>44.21</v>
      </c>
      <c r="Q64" s="22">
        <f t="shared" si="29"/>
        <v>0</v>
      </c>
      <c r="R64" s="22">
        <f t="shared" si="29"/>
        <v>0.01</v>
      </c>
      <c r="S64" s="22"/>
      <c r="T64" s="22"/>
      <c r="U64" s="22"/>
      <c r="V64" s="22"/>
      <c r="W64" s="22"/>
      <c r="X64" s="22"/>
      <c r="Y64" s="22"/>
      <c r="Z64" s="22"/>
      <c r="AA64" s="68"/>
      <c r="AB64" s="80">
        <f t="shared" si="27"/>
        <v>2086.1200000000003</v>
      </c>
    </row>
    <row r="65" spans="1:28" s="1" customFormat="1" ht="13.5" thickBot="1">
      <c r="A65" s="124"/>
      <c r="B65" s="139"/>
      <c r="C65" s="137"/>
      <c r="D65" s="13" t="s">
        <v>83</v>
      </c>
      <c r="E65" s="30">
        <f>E60+E61-E62</f>
        <v>0.15999999999985448</v>
      </c>
      <c r="F65" s="42"/>
      <c r="G65" s="30"/>
      <c r="H65" s="30"/>
      <c r="I65" s="30"/>
      <c r="J65" s="30"/>
      <c r="K65" s="30"/>
      <c r="L65" s="30"/>
      <c r="M65" s="30"/>
      <c r="N65" s="30">
        <f>N60+N61-N62</f>
        <v>-4.121147867408581E-13</v>
      </c>
      <c r="O65" s="30">
        <f>O60+O61-O62</f>
        <v>-0.02</v>
      </c>
      <c r="P65" s="30">
        <f>P60+P61-P62</f>
        <v>-8.739675649849232E-13</v>
      </c>
      <c r="Q65" s="30"/>
      <c r="R65" s="30">
        <f>R60+R61-R62</f>
        <v>-0.01</v>
      </c>
      <c r="S65" s="30"/>
      <c r="T65" s="30"/>
      <c r="U65" s="30"/>
      <c r="V65" s="30"/>
      <c r="W65" s="30"/>
      <c r="X65" s="30"/>
      <c r="Y65" s="30"/>
      <c r="Z65" s="30"/>
      <c r="AA65" s="78"/>
      <c r="AB65" s="83">
        <f t="shared" si="27"/>
        <v>0.1299999999985684</v>
      </c>
    </row>
    <row r="66" spans="1:28" s="4" customFormat="1" ht="12.75">
      <c r="A66" s="123">
        <v>9</v>
      </c>
      <c r="B66" s="139"/>
      <c r="C66" s="133" t="s">
        <v>40</v>
      </c>
      <c r="D66" s="14" t="s">
        <v>84</v>
      </c>
      <c r="E66" s="25">
        <f>2816.82-3639.29+7250.85-1914.66</f>
        <v>4513.720000000001</v>
      </c>
      <c r="F66" s="48">
        <f>-6227.69-2774.92-36.19</f>
        <v>-9038.800000000001</v>
      </c>
      <c r="G66" s="28">
        <f>-23320.8-2168.89-28.95</f>
        <v>-25518.64</v>
      </c>
      <c r="H66" s="28">
        <f>-50.61-756.09+7.13</f>
        <v>-799.57</v>
      </c>
      <c r="I66" s="28">
        <f>+-320.23+-1091.87+-12.26</f>
        <v>-1424.36</v>
      </c>
      <c r="J66" s="25">
        <f>+-1690.64+317.3+-27.73</f>
        <v>-1401.0700000000002</v>
      </c>
      <c r="K66" s="25">
        <f>6907.5-143.9+4349.34-2.37</f>
        <v>11110.57</v>
      </c>
      <c r="L66" s="49">
        <f>-9223.68-1409.61-22.69</f>
        <v>-10655.980000000001</v>
      </c>
      <c r="M66" s="25">
        <f>-11673.6-1.1</f>
        <v>-11674.7</v>
      </c>
      <c r="N66" s="25">
        <f>-1326.28-9302.53+2043.08</f>
        <v>-8585.730000000001</v>
      </c>
      <c r="O66" s="28">
        <f>-998.79-2566.47-41.46</f>
        <v>-3606.72</v>
      </c>
      <c r="P66" s="28">
        <f>17.99-5939.22-102.4</f>
        <v>-6023.63</v>
      </c>
      <c r="Q66" s="25">
        <f>-12269.96-10.33</f>
        <v>-12280.289999999999</v>
      </c>
      <c r="R66" s="25">
        <f>-2075.02-3898.96-68.79</f>
        <v>-6042.7699999999995</v>
      </c>
      <c r="S66" s="25">
        <f>-1282.86-13.72</f>
        <v>-1296.58</v>
      </c>
      <c r="T66" s="25">
        <f>-1389.01-8.8</f>
        <v>-1397.81</v>
      </c>
      <c r="U66" s="28">
        <f>-2222.58-9.26</f>
        <v>-2231.84</v>
      </c>
      <c r="V66" s="28">
        <f>+-11626.16+-16.3</f>
        <v>-11642.46</v>
      </c>
      <c r="W66" s="28">
        <f>+-5875.95+-194.53</f>
        <v>-6070.48</v>
      </c>
      <c r="X66" s="28">
        <f>+-23081.16+-12.03</f>
        <v>-23093.19</v>
      </c>
      <c r="Y66" s="28">
        <f>-2013.55-18.63</f>
        <v>-2032.18</v>
      </c>
      <c r="Z66" s="28">
        <f>+-2240.23+-32.59</f>
        <v>-2272.82</v>
      </c>
      <c r="AA66" s="87">
        <f>+-12200.55+-27.48</f>
        <v>-12228.029999999999</v>
      </c>
      <c r="AB66" s="79">
        <f t="shared" si="2"/>
        <v>-143693.36</v>
      </c>
    </row>
    <row r="67" spans="1:28" s="4" customFormat="1" ht="12.75">
      <c r="A67" s="123"/>
      <c r="B67" s="139"/>
      <c r="C67" s="134"/>
      <c r="D67" s="9" t="s">
        <v>1</v>
      </c>
      <c r="E67" s="21">
        <f>-2816.82+3639.29-5453.18+1914.66</f>
        <v>-2716.050000000001</v>
      </c>
      <c r="F67" s="47">
        <f>6227.69+2774.92+36.19</f>
        <v>9038.800000000001</v>
      </c>
      <c r="G67" s="27">
        <f>23320.8+2168.89+28.95</f>
        <v>25518.64</v>
      </c>
      <c r="H67" s="27">
        <f>54.36+761.54-7.05</f>
        <v>808.85</v>
      </c>
      <c r="I67" s="27">
        <f>320.23+1091.87+12.26</f>
        <v>1424.36</v>
      </c>
      <c r="J67" s="21">
        <f>1690.64+27.73</f>
        <v>1718.3700000000001</v>
      </c>
      <c r="K67" s="21">
        <f>-6907.5+143.9-4341.64+2.37</f>
        <v>-11102.87</v>
      </c>
      <c r="L67" s="50">
        <f>9254.19+1434.26+23.14</f>
        <v>10711.59</v>
      </c>
      <c r="M67" s="21">
        <f>11807.43+1.1</f>
        <v>11808.53</v>
      </c>
      <c r="N67" s="21">
        <f>1326.28+9302.53-1966.78</f>
        <v>8662.03</v>
      </c>
      <c r="O67" s="27">
        <f>999.34+2567.74+41.48</f>
        <v>3608.56</v>
      </c>
      <c r="P67" s="27">
        <f>821.54+6400.54+110.71</f>
        <v>7332.79</v>
      </c>
      <c r="Q67" s="21">
        <f>12360.5+10.33</f>
        <v>12370.83</v>
      </c>
      <c r="R67" s="21">
        <f>2075.02+3898.96+68.79</f>
        <v>6042.7699999999995</v>
      </c>
      <c r="S67" s="21">
        <f>1422.59+13.76</f>
        <v>1436.35</v>
      </c>
      <c r="T67" s="21">
        <f>1412.65+8.8</f>
        <v>1421.45</v>
      </c>
      <c r="U67" s="27">
        <f>2222.58+9.26</f>
        <v>2231.84</v>
      </c>
      <c r="V67" s="27">
        <f>11626.16+16.3</f>
        <v>11642.46</v>
      </c>
      <c r="W67" s="27">
        <f>5875.95+194.53</f>
        <v>6070.48</v>
      </c>
      <c r="X67" s="27">
        <f>23081.16+12.03</f>
        <v>23093.19</v>
      </c>
      <c r="Y67" s="27">
        <f>2013.56+18.65</f>
        <v>2032.21</v>
      </c>
      <c r="Z67" s="27">
        <f>2240.23+32.59</f>
        <v>2272.82</v>
      </c>
      <c r="AA67" s="91">
        <f>12200.55+27.48</f>
        <v>12228.029999999999</v>
      </c>
      <c r="AB67" s="80">
        <f t="shared" si="2"/>
        <v>147656.02999999997</v>
      </c>
    </row>
    <row r="68" spans="1:28" s="4" customFormat="1" ht="12.75">
      <c r="A68" s="123"/>
      <c r="B68" s="139"/>
      <c r="C68" s="134"/>
      <c r="D68" s="9" t="s">
        <v>2</v>
      </c>
      <c r="E68" s="21">
        <v>1797.67</v>
      </c>
      <c r="F68" s="27">
        <v>0.01</v>
      </c>
      <c r="G68" s="27">
        <v>0.01</v>
      </c>
      <c r="H68" s="27">
        <f>3.75+5.45+0.08</f>
        <v>9.28</v>
      </c>
      <c r="I68" s="27">
        <v>0.01</v>
      </c>
      <c r="J68" s="21">
        <v>317.3</v>
      </c>
      <c r="K68" s="21">
        <v>7.7</v>
      </c>
      <c r="L68" s="50">
        <f>30.51+24.65+0.45</f>
        <v>55.61</v>
      </c>
      <c r="M68" s="21">
        <f>133.83</f>
        <v>133.83</v>
      </c>
      <c r="N68" s="21">
        <v>76.3</v>
      </c>
      <c r="O68" s="27">
        <f>0.55+1.27+0.02</f>
        <v>1.84</v>
      </c>
      <c r="P68" s="27">
        <f>839.53+461.32+8.31</f>
        <v>1309.1599999999999</v>
      </c>
      <c r="Q68" s="21">
        <v>90.54</v>
      </c>
      <c r="R68" s="21">
        <v>0</v>
      </c>
      <c r="S68" s="21">
        <f>139.73+0.04</f>
        <v>139.76999999999998</v>
      </c>
      <c r="T68" s="21">
        <v>23.64</v>
      </c>
      <c r="U68" s="27">
        <v>0.01</v>
      </c>
      <c r="V68" s="27">
        <v>0.01</v>
      </c>
      <c r="W68" s="27">
        <v>0.01</v>
      </c>
      <c r="X68" s="27">
        <v>0.01</v>
      </c>
      <c r="Y68" s="27">
        <v>0.01</v>
      </c>
      <c r="Z68" s="27">
        <v>0.01</v>
      </c>
      <c r="AA68" s="27">
        <v>0.01</v>
      </c>
      <c r="AB68" s="81">
        <f t="shared" si="2"/>
        <v>3962.7400000000016</v>
      </c>
    </row>
    <row r="69" spans="1:28" s="4" customFormat="1" ht="12.75">
      <c r="A69" s="123"/>
      <c r="B69" s="139"/>
      <c r="C69" s="134"/>
      <c r="D69" s="9" t="s">
        <v>4</v>
      </c>
      <c r="E69" s="21">
        <f aca="true" t="shared" si="30" ref="E69:G70">+E67</f>
        <v>-2716.050000000001</v>
      </c>
      <c r="F69" s="21">
        <f t="shared" si="30"/>
        <v>9038.800000000001</v>
      </c>
      <c r="G69" s="21">
        <f t="shared" si="30"/>
        <v>25518.64</v>
      </c>
      <c r="H69" s="21">
        <f aca="true" t="shared" si="31" ref="H69:Y69">+H67</f>
        <v>808.85</v>
      </c>
      <c r="I69" s="21">
        <f>+I67</f>
        <v>1424.36</v>
      </c>
      <c r="J69" s="21">
        <f t="shared" si="31"/>
        <v>1718.3700000000001</v>
      </c>
      <c r="K69" s="21">
        <f t="shared" si="31"/>
        <v>-11102.87</v>
      </c>
      <c r="L69" s="21">
        <f t="shared" si="31"/>
        <v>10711.59</v>
      </c>
      <c r="M69" s="21">
        <f t="shared" si="31"/>
        <v>11808.53</v>
      </c>
      <c r="N69" s="21">
        <f t="shared" si="31"/>
        <v>8662.03</v>
      </c>
      <c r="O69" s="21">
        <f t="shared" si="31"/>
        <v>3608.56</v>
      </c>
      <c r="P69" s="21">
        <f t="shared" si="31"/>
        <v>7332.79</v>
      </c>
      <c r="Q69" s="21">
        <f t="shared" si="31"/>
        <v>12370.83</v>
      </c>
      <c r="R69" s="21">
        <f t="shared" si="31"/>
        <v>6042.7699999999995</v>
      </c>
      <c r="S69" s="21">
        <f t="shared" si="31"/>
        <v>1436.35</v>
      </c>
      <c r="T69" s="21">
        <f t="shared" si="31"/>
        <v>1421.45</v>
      </c>
      <c r="U69" s="21">
        <f aca="true" t="shared" si="32" ref="U69:X70">+U67</f>
        <v>2231.84</v>
      </c>
      <c r="V69" s="21">
        <f t="shared" si="32"/>
        <v>11642.46</v>
      </c>
      <c r="W69" s="21">
        <f t="shared" si="32"/>
        <v>6070.48</v>
      </c>
      <c r="X69" s="21">
        <f t="shared" si="32"/>
        <v>23093.19</v>
      </c>
      <c r="Y69" s="21">
        <f t="shared" si="31"/>
        <v>2032.21</v>
      </c>
      <c r="Z69" s="21">
        <f>+Z67</f>
        <v>2272.82</v>
      </c>
      <c r="AA69" s="21">
        <f>+AA67</f>
        <v>12228.029999999999</v>
      </c>
      <c r="AB69" s="80">
        <f t="shared" si="2"/>
        <v>147656.02999999997</v>
      </c>
    </row>
    <row r="70" spans="1:28" s="4" customFormat="1" ht="12.75">
      <c r="A70" s="123"/>
      <c r="B70" s="139"/>
      <c r="C70" s="134"/>
      <c r="D70" s="9" t="s">
        <v>3</v>
      </c>
      <c r="E70" s="22">
        <f t="shared" si="30"/>
        <v>1797.67</v>
      </c>
      <c r="F70" s="22">
        <f t="shared" si="30"/>
        <v>0.01</v>
      </c>
      <c r="G70" s="22">
        <f t="shared" si="30"/>
        <v>0.01</v>
      </c>
      <c r="H70" s="22">
        <f aca="true" t="shared" si="33" ref="H70:Y70">+H68</f>
        <v>9.28</v>
      </c>
      <c r="I70" s="22">
        <f>+I68</f>
        <v>0.01</v>
      </c>
      <c r="J70" s="22">
        <f t="shared" si="33"/>
        <v>317.3</v>
      </c>
      <c r="K70" s="22">
        <f t="shared" si="33"/>
        <v>7.7</v>
      </c>
      <c r="L70" s="22">
        <f t="shared" si="33"/>
        <v>55.61</v>
      </c>
      <c r="M70" s="22">
        <f t="shared" si="33"/>
        <v>133.83</v>
      </c>
      <c r="N70" s="22">
        <f t="shared" si="33"/>
        <v>76.3</v>
      </c>
      <c r="O70" s="22">
        <f t="shared" si="33"/>
        <v>1.84</v>
      </c>
      <c r="P70" s="22">
        <f t="shared" si="33"/>
        <v>1309.1599999999999</v>
      </c>
      <c r="Q70" s="22">
        <f t="shared" si="33"/>
        <v>90.54</v>
      </c>
      <c r="R70" s="22">
        <f t="shared" si="33"/>
        <v>0</v>
      </c>
      <c r="S70" s="22">
        <f t="shared" si="33"/>
        <v>139.76999999999998</v>
      </c>
      <c r="T70" s="22">
        <f t="shared" si="33"/>
        <v>23.64</v>
      </c>
      <c r="U70" s="22">
        <f t="shared" si="32"/>
        <v>0.01</v>
      </c>
      <c r="V70" s="22">
        <f t="shared" si="32"/>
        <v>0.01</v>
      </c>
      <c r="W70" s="22">
        <f t="shared" si="32"/>
        <v>0.01</v>
      </c>
      <c r="X70" s="22">
        <f t="shared" si="32"/>
        <v>0.01</v>
      </c>
      <c r="Y70" s="22">
        <f t="shared" si="33"/>
        <v>0.01</v>
      </c>
      <c r="Z70" s="22">
        <f>+Z68</f>
        <v>0.01</v>
      </c>
      <c r="AA70" s="22">
        <f>+AA68</f>
        <v>0.01</v>
      </c>
      <c r="AB70" s="80">
        <f t="shared" si="2"/>
        <v>3962.7400000000016</v>
      </c>
    </row>
    <row r="71" spans="1:28" s="1" customFormat="1" ht="13.5" thickBot="1">
      <c r="A71" s="123"/>
      <c r="B71" s="140"/>
      <c r="C71" s="135"/>
      <c r="D71" s="13" t="s">
        <v>83</v>
      </c>
      <c r="E71" s="29">
        <f aca="true" t="shared" si="34" ref="E71:AA71">E66+E67-E68</f>
        <v>0</v>
      </c>
      <c r="F71" s="41">
        <f t="shared" si="34"/>
        <v>-0.01</v>
      </c>
      <c r="G71" s="29">
        <f t="shared" si="34"/>
        <v>-0.01</v>
      </c>
      <c r="H71" s="29">
        <f t="shared" si="34"/>
        <v>-2.6645352591003757E-14</v>
      </c>
      <c r="I71" s="29">
        <f t="shared" si="34"/>
        <v>-0.01</v>
      </c>
      <c r="J71" s="29">
        <f>J66+J67-J68</f>
        <v>0</v>
      </c>
      <c r="K71" s="29">
        <f>K66+K67-K68</f>
        <v>-1.091571277811454E-12</v>
      </c>
      <c r="L71" s="29">
        <f t="shared" si="34"/>
        <v>-1.2363443602225743E-12</v>
      </c>
      <c r="M71" s="29">
        <f t="shared" si="34"/>
        <v>0</v>
      </c>
      <c r="N71" s="29">
        <f t="shared" si="34"/>
        <v>-7.247535904753022E-13</v>
      </c>
      <c r="O71" s="29">
        <f t="shared" si="34"/>
        <v>1.454392162258955E-13</v>
      </c>
      <c r="P71" s="29">
        <f>P66+P67-P68</f>
        <v>0</v>
      </c>
      <c r="Q71" s="29">
        <f t="shared" si="34"/>
        <v>8.668621376273222E-13</v>
      </c>
      <c r="R71" s="29">
        <f>R66+R67-R68</f>
        <v>0</v>
      </c>
      <c r="S71" s="29">
        <f t="shared" si="34"/>
        <v>0</v>
      </c>
      <c r="T71" s="29">
        <f t="shared" si="34"/>
        <v>9.947598300641403E-14</v>
      </c>
      <c r="U71" s="29">
        <f t="shared" si="34"/>
        <v>-0.01</v>
      </c>
      <c r="V71" s="29">
        <f t="shared" si="34"/>
        <v>-0.01</v>
      </c>
      <c r="W71" s="29">
        <f t="shared" si="34"/>
        <v>-0.01</v>
      </c>
      <c r="X71" s="29">
        <f t="shared" si="34"/>
        <v>-0.01</v>
      </c>
      <c r="Y71" s="29">
        <f t="shared" si="34"/>
        <v>0.019999999999972713</v>
      </c>
      <c r="Z71" s="29">
        <f t="shared" si="34"/>
        <v>-0.01</v>
      </c>
      <c r="AA71" s="84">
        <f t="shared" si="34"/>
        <v>-0.01</v>
      </c>
      <c r="AB71" s="83">
        <f t="shared" si="2"/>
        <v>-0.07000000000199483</v>
      </c>
    </row>
    <row r="72" spans="1:28" s="4" customFormat="1" ht="12.75" customHeight="1">
      <c r="A72" s="123">
        <v>10</v>
      </c>
      <c r="B72" s="138" t="s">
        <v>12</v>
      </c>
      <c r="C72" s="125" t="s">
        <v>13</v>
      </c>
      <c r="D72" s="14" t="s">
        <v>84</v>
      </c>
      <c r="E72" s="20">
        <v>108978.27</v>
      </c>
      <c r="F72" s="20">
        <v>13278.72</v>
      </c>
      <c r="G72" s="20">
        <v>22336.95</v>
      </c>
      <c r="H72" s="20">
        <v>60749.64</v>
      </c>
      <c r="I72" s="20">
        <v>20755.99</v>
      </c>
      <c r="J72" s="20">
        <v>6073.7</v>
      </c>
      <c r="K72" s="20">
        <v>26380.37</v>
      </c>
      <c r="L72" s="20">
        <v>20512.42</v>
      </c>
      <c r="M72" s="20">
        <v>6820.37</v>
      </c>
      <c r="N72" s="20">
        <v>-64.5</v>
      </c>
      <c r="O72" s="20">
        <v>88436.41</v>
      </c>
      <c r="P72" s="20">
        <v>141809.85</v>
      </c>
      <c r="Q72" s="20">
        <v>7025.85</v>
      </c>
      <c r="R72" s="20">
        <v>77970.69</v>
      </c>
      <c r="S72" s="20">
        <v>6338.74</v>
      </c>
      <c r="T72" s="20">
        <v>5960.78</v>
      </c>
      <c r="U72" s="20">
        <v>15001.92</v>
      </c>
      <c r="V72" s="20">
        <v>44087.87</v>
      </c>
      <c r="W72" s="20">
        <v>18145.39</v>
      </c>
      <c r="X72" s="20">
        <v>30810.73</v>
      </c>
      <c r="Y72" s="20">
        <v>65227.72</v>
      </c>
      <c r="Z72" s="20">
        <v>51075.13</v>
      </c>
      <c r="AA72" s="77">
        <v>13261.36</v>
      </c>
      <c r="AB72" s="79">
        <f t="shared" si="2"/>
        <v>850974.37</v>
      </c>
    </row>
    <row r="73" spans="1:28" s="4" customFormat="1" ht="12.75">
      <c r="A73" s="123"/>
      <c r="B73" s="139"/>
      <c r="C73" s="126"/>
      <c r="D73" s="9" t="s">
        <v>1</v>
      </c>
      <c r="E73" s="21">
        <v>306083.74</v>
      </c>
      <c r="F73" s="21">
        <v>190738.53</v>
      </c>
      <c r="G73" s="21">
        <v>225250.41</v>
      </c>
      <c r="H73" s="21">
        <v>219824.16</v>
      </c>
      <c r="I73" s="21">
        <v>156176.66</v>
      </c>
      <c r="J73" s="21">
        <v>20565.36</v>
      </c>
      <c r="K73" s="21">
        <v>24671.63</v>
      </c>
      <c r="L73" s="21">
        <v>201471.37</v>
      </c>
      <c r="M73" s="21">
        <v>34672.59</v>
      </c>
      <c r="N73" s="21"/>
      <c r="O73" s="21">
        <v>346458.93</v>
      </c>
      <c r="P73" s="21">
        <v>573494.44</v>
      </c>
      <c r="Q73" s="21">
        <v>49927.97</v>
      </c>
      <c r="R73" s="21">
        <v>371738.59</v>
      </c>
      <c r="S73" s="21">
        <v>57578.23</v>
      </c>
      <c r="T73" s="21">
        <v>53663.78</v>
      </c>
      <c r="U73" s="21">
        <v>60553.2</v>
      </c>
      <c r="V73" s="21">
        <v>199902.89</v>
      </c>
      <c r="W73" s="21">
        <v>208180.57</v>
      </c>
      <c r="X73" s="21">
        <v>176610.95</v>
      </c>
      <c r="Y73" s="21">
        <v>213330.7</v>
      </c>
      <c r="Z73" s="21">
        <v>210404.9</v>
      </c>
      <c r="AA73" s="67">
        <v>178184.03</v>
      </c>
      <c r="AB73" s="80">
        <f t="shared" si="2"/>
        <v>4079483.63</v>
      </c>
    </row>
    <row r="74" spans="1:28" s="4" customFormat="1" ht="12.75">
      <c r="A74" s="123"/>
      <c r="B74" s="139"/>
      <c r="C74" s="126"/>
      <c r="D74" s="9" t="s">
        <v>2</v>
      </c>
      <c r="E74" s="21">
        <v>292506.69</v>
      </c>
      <c r="F74" s="21">
        <v>188740.03</v>
      </c>
      <c r="G74" s="21">
        <v>207430.78</v>
      </c>
      <c r="H74" s="21">
        <v>215051.97</v>
      </c>
      <c r="I74" s="21">
        <v>154773.98</v>
      </c>
      <c r="J74" s="21">
        <v>21793.08</v>
      </c>
      <c r="K74" s="21">
        <v>22366.02</v>
      </c>
      <c r="L74" s="21">
        <v>192890.68</v>
      </c>
      <c r="M74" s="21">
        <v>35474.42</v>
      </c>
      <c r="N74" s="21"/>
      <c r="O74" s="21">
        <v>327056.34</v>
      </c>
      <c r="P74" s="21">
        <v>586619.78</v>
      </c>
      <c r="Q74" s="21">
        <v>38157.23</v>
      </c>
      <c r="R74" s="21">
        <v>346983.59</v>
      </c>
      <c r="S74" s="21">
        <v>56012.89</v>
      </c>
      <c r="T74" s="21">
        <v>54527.08</v>
      </c>
      <c r="U74" s="21">
        <v>59835.4</v>
      </c>
      <c r="V74" s="21">
        <v>189702.93</v>
      </c>
      <c r="W74" s="21">
        <v>208986.61</v>
      </c>
      <c r="X74" s="21">
        <v>169251.7</v>
      </c>
      <c r="Y74" s="21">
        <v>204791.67</v>
      </c>
      <c r="Z74" s="21">
        <v>205710.9</v>
      </c>
      <c r="AA74" s="67">
        <v>173597.72</v>
      </c>
      <c r="AB74" s="81">
        <f t="shared" si="2"/>
        <v>3952261.49</v>
      </c>
    </row>
    <row r="75" spans="1:28" s="4" customFormat="1" ht="12.75">
      <c r="A75" s="123"/>
      <c r="B75" s="139"/>
      <c r="C75" s="126"/>
      <c r="D75" s="9" t="s">
        <v>4</v>
      </c>
      <c r="E75" s="21">
        <f>+E73</f>
        <v>306083.74</v>
      </c>
      <c r="F75" s="21">
        <f aca="true" t="shared" si="35" ref="F75:AA75">+F73</f>
        <v>190738.53</v>
      </c>
      <c r="G75" s="21">
        <f t="shared" si="35"/>
        <v>225250.41</v>
      </c>
      <c r="H75" s="21">
        <f t="shared" si="35"/>
        <v>219824.16</v>
      </c>
      <c r="I75" s="21">
        <f t="shared" si="35"/>
        <v>156176.66</v>
      </c>
      <c r="J75" s="21">
        <f t="shared" si="35"/>
        <v>20565.36</v>
      </c>
      <c r="K75" s="21">
        <f t="shared" si="35"/>
        <v>24671.63</v>
      </c>
      <c r="L75" s="21">
        <f t="shared" si="35"/>
        <v>201471.37</v>
      </c>
      <c r="M75" s="21">
        <f t="shared" si="35"/>
        <v>34672.59</v>
      </c>
      <c r="N75" s="21"/>
      <c r="O75" s="21">
        <f t="shared" si="35"/>
        <v>346458.93</v>
      </c>
      <c r="P75" s="21">
        <f t="shared" si="35"/>
        <v>573494.44</v>
      </c>
      <c r="Q75" s="21">
        <f t="shared" si="35"/>
        <v>49927.97</v>
      </c>
      <c r="R75" s="21">
        <f t="shared" si="35"/>
        <v>371738.59</v>
      </c>
      <c r="S75" s="21">
        <f t="shared" si="35"/>
        <v>57578.23</v>
      </c>
      <c r="T75" s="21">
        <f t="shared" si="35"/>
        <v>53663.78</v>
      </c>
      <c r="U75" s="21">
        <f t="shared" si="35"/>
        <v>60553.2</v>
      </c>
      <c r="V75" s="21">
        <f t="shared" si="35"/>
        <v>199902.89</v>
      </c>
      <c r="W75" s="21">
        <f t="shared" si="35"/>
        <v>208180.57</v>
      </c>
      <c r="X75" s="21">
        <f t="shared" si="35"/>
        <v>176610.95</v>
      </c>
      <c r="Y75" s="21">
        <f t="shared" si="35"/>
        <v>213330.7</v>
      </c>
      <c r="Z75" s="21">
        <f t="shared" si="35"/>
        <v>210404.9</v>
      </c>
      <c r="AA75" s="67">
        <f t="shared" si="35"/>
        <v>178184.03</v>
      </c>
      <c r="AB75" s="80">
        <f t="shared" si="2"/>
        <v>4079483.63</v>
      </c>
    </row>
    <row r="76" spans="1:28" s="4" customFormat="1" ht="12.75">
      <c r="A76" s="123"/>
      <c r="B76" s="139"/>
      <c r="C76" s="126"/>
      <c r="D76" s="9" t="s">
        <v>3</v>
      </c>
      <c r="E76" s="22">
        <f>+E74</f>
        <v>292506.69</v>
      </c>
      <c r="F76" s="47">
        <f aca="true" t="shared" si="36" ref="F76:AA76">+F74</f>
        <v>188740.03</v>
      </c>
      <c r="G76" s="22">
        <f t="shared" si="36"/>
        <v>207430.78</v>
      </c>
      <c r="H76" s="22">
        <f t="shared" si="36"/>
        <v>215051.97</v>
      </c>
      <c r="I76" s="22">
        <f t="shared" si="36"/>
        <v>154773.98</v>
      </c>
      <c r="J76" s="22">
        <f t="shared" si="36"/>
        <v>21793.08</v>
      </c>
      <c r="K76" s="22">
        <f t="shared" si="36"/>
        <v>22366.02</v>
      </c>
      <c r="L76" s="22">
        <f t="shared" si="36"/>
        <v>192890.68</v>
      </c>
      <c r="M76" s="22">
        <f t="shared" si="36"/>
        <v>35474.42</v>
      </c>
      <c r="N76" s="22"/>
      <c r="O76" s="22">
        <f t="shared" si="36"/>
        <v>327056.34</v>
      </c>
      <c r="P76" s="22">
        <f>P74</f>
        <v>586619.78</v>
      </c>
      <c r="Q76" s="22">
        <f t="shared" si="36"/>
        <v>38157.23</v>
      </c>
      <c r="R76" s="22">
        <f t="shared" si="36"/>
        <v>346983.59</v>
      </c>
      <c r="S76" s="22">
        <f t="shared" si="36"/>
        <v>56012.89</v>
      </c>
      <c r="T76" s="22">
        <f t="shared" si="36"/>
        <v>54527.08</v>
      </c>
      <c r="U76" s="22">
        <f t="shared" si="36"/>
        <v>59835.4</v>
      </c>
      <c r="V76" s="22">
        <f t="shared" si="36"/>
        <v>189702.93</v>
      </c>
      <c r="W76" s="22">
        <f t="shared" si="36"/>
        <v>208986.61</v>
      </c>
      <c r="X76" s="22">
        <f t="shared" si="36"/>
        <v>169251.7</v>
      </c>
      <c r="Y76" s="22">
        <f t="shared" si="36"/>
        <v>204791.67</v>
      </c>
      <c r="Z76" s="22">
        <f t="shared" si="36"/>
        <v>205710.9</v>
      </c>
      <c r="AA76" s="68">
        <f t="shared" si="36"/>
        <v>173597.72</v>
      </c>
      <c r="AB76" s="71">
        <f t="shared" si="2"/>
        <v>3952261.49</v>
      </c>
    </row>
    <row r="77" spans="1:28" s="1" customFormat="1" ht="13.5" thickBot="1">
      <c r="A77" s="123"/>
      <c r="B77" s="139"/>
      <c r="C77" s="128"/>
      <c r="D77" s="13" t="s">
        <v>83</v>
      </c>
      <c r="E77" s="24">
        <f>E72+E73-E74</f>
        <v>122555.32</v>
      </c>
      <c r="F77" s="42">
        <f aca="true" t="shared" si="37" ref="F77:AA77">F72+F73-F74</f>
        <v>15277.220000000001</v>
      </c>
      <c r="G77" s="30">
        <f t="shared" si="37"/>
        <v>40156.580000000016</v>
      </c>
      <c r="H77" s="24">
        <f t="shared" si="37"/>
        <v>65521.82999999999</v>
      </c>
      <c r="I77" s="24">
        <f t="shared" si="37"/>
        <v>22158.669999999984</v>
      </c>
      <c r="J77" s="24">
        <f>J72+J73-J74</f>
        <v>4845.98</v>
      </c>
      <c r="K77" s="24">
        <f t="shared" si="37"/>
        <v>28685.98</v>
      </c>
      <c r="L77" s="24">
        <f t="shared" si="37"/>
        <v>29093.109999999986</v>
      </c>
      <c r="M77" s="24">
        <f t="shared" si="37"/>
        <v>6018.540000000001</v>
      </c>
      <c r="N77" s="24">
        <f t="shared" si="37"/>
        <v>-64.5</v>
      </c>
      <c r="O77" s="24">
        <f t="shared" si="37"/>
        <v>107838.99999999994</v>
      </c>
      <c r="P77" s="24">
        <f>P72+P73-P74</f>
        <v>128684.5099999999</v>
      </c>
      <c r="Q77" s="24">
        <f t="shared" si="37"/>
        <v>18796.589999999997</v>
      </c>
      <c r="R77" s="24">
        <f t="shared" si="37"/>
        <v>102725.69</v>
      </c>
      <c r="S77" s="24">
        <f t="shared" si="37"/>
        <v>7904.080000000002</v>
      </c>
      <c r="T77" s="24">
        <f t="shared" si="37"/>
        <v>5097.479999999996</v>
      </c>
      <c r="U77" s="24">
        <f t="shared" si="37"/>
        <v>15719.719999999994</v>
      </c>
      <c r="V77" s="24">
        <f t="shared" si="37"/>
        <v>54287.830000000016</v>
      </c>
      <c r="W77" s="24">
        <f t="shared" si="37"/>
        <v>17339.350000000035</v>
      </c>
      <c r="X77" s="24">
        <f>X72+X73-X74</f>
        <v>38169.98000000001</v>
      </c>
      <c r="Y77" s="24">
        <f>Y72+Y73-Y74</f>
        <v>73766.75000000003</v>
      </c>
      <c r="Z77" s="24">
        <f t="shared" si="37"/>
        <v>55769.130000000005</v>
      </c>
      <c r="AA77" s="76">
        <f t="shared" si="37"/>
        <v>17847.670000000013</v>
      </c>
      <c r="AB77" s="73">
        <f t="shared" si="2"/>
        <v>978196.5099999998</v>
      </c>
    </row>
    <row r="78" spans="1:28" s="4" customFormat="1" ht="12.75">
      <c r="A78" s="123">
        <v>11</v>
      </c>
      <c r="B78" s="139"/>
      <c r="C78" s="129" t="s">
        <v>14</v>
      </c>
      <c r="D78" s="14" t="s">
        <v>84</v>
      </c>
      <c r="E78" s="25">
        <f>880.16+17190.14</f>
        <v>18070.3</v>
      </c>
      <c r="F78" s="48">
        <v>-351.91</v>
      </c>
      <c r="G78" s="35">
        <v>3700.06</v>
      </c>
      <c r="H78" s="25">
        <v>10766.75</v>
      </c>
      <c r="I78" s="35">
        <f>-22.91+5534</f>
        <v>5511.09</v>
      </c>
      <c r="J78" s="35">
        <f>-0.86+2137.74</f>
        <v>2136.8799999999997</v>
      </c>
      <c r="K78" s="35">
        <v>5535.74</v>
      </c>
      <c r="L78" s="35">
        <f>-444.89+5463.76</f>
        <v>5018.87</v>
      </c>
      <c r="M78" s="35">
        <v>1492.07</v>
      </c>
      <c r="N78" s="35">
        <v>-19741.03</v>
      </c>
      <c r="O78" s="25">
        <f>-104.56+13103.19</f>
        <v>12998.630000000001</v>
      </c>
      <c r="P78" s="25">
        <f>144.41+29639.08</f>
        <v>29783.49</v>
      </c>
      <c r="Q78" s="25">
        <v>2084.65</v>
      </c>
      <c r="R78" s="25">
        <f>-16.7+17967.05</f>
        <v>17950.35</v>
      </c>
      <c r="S78" s="25">
        <f>-59.41-1864.94</f>
        <v>-1924.3500000000001</v>
      </c>
      <c r="T78" s="25">
        <v>2263.15</v>
      </c>
      <c r="U78" s="25">
        <v>3872.43</v>
      </c>
      <c r="V78" s="25">
        <v>8523</v>
      </c>
      <c r="W78" s="25">
        <v>4802.32</v>
      </c>
      <c r="X78" s="25">
        <f>411.95+6215.66</f>
        <v>6627.61</v>
      </c>
      <c r="Y78" s="25">
        <v>9597.13</v>
      </c>
      <c r="Z78" s="25">
        <f>-33.17+6804.4</f>
        <v>6771.23</v>
      </c>
      <c r="AA78" s="66">
        <v>1807.17</v>
      </c>
      <c r="AB78" s="79">
        <f t="shared" si="2"/>
        <v>137295.63</v>
      </c>
    </row>
    <row r="79" spans="1:28" s="4" customFormat="1" ht="12.75">
      <c r="A79" s="123"/>
      <c r="B79" s="139"/>
      <c r="C79" s="126"/>
      <c r="D79" s="9" t="s">
        <v>1</v>
      </c>
      <c r="E79" s="21">
        <f>-880.16+71471.27</f>
        <v>70591.11</v>
      </c>
      <c r="F79" s="47">
        <v>41659.2</v>
      </c>
      <c r="G79" s="22">
        <v>44236.08</v>
      </c>
      <c r="H79" s="21">
        <v>43464.48</v>
      </c>
      <c r="I79" s="22">
        <f>22.91+34488</f>
        <v>34510.91</v>
      </c>
      <c r="J79" s="22">
        <f>0.86+9811.2</f>
        <v>9812.060000000001</v>
      </c>
      <c r="K79" s="22">
        <v>10738.56</v>
      </c>
      <c r="L79" s="22">
        <f>444.89+48198.25</f>
        <v>48643.14</v>
      </c>
      <c r="M79" s="22">
        <v>10761.6</v>
      </c>
      <c r="N79" s="22">
        <v>19741.03</v>
      </c>
      <c r="O79" s="21">
        <f>104.56+88558.73</f>
        <v>88663.29</v>
      </c>
      <c r="P79" s="21">
        <f>-144.41+163501.33</f>
        <v>163356.91999999998</v>
      </c>
      <c r="Q79" s="21">
        <v>14158</v>
      </c>
      <c r="R79" s="21">
        <f>16.7+89329.89</f>
        <v>89346.59</v>
      </c>
      <c r="S79" s="21">
        <f>61.96+17510.4</f>
        <v>17572.36</v>
      </c>
      <c r="T79" s="21">
        <v>19141.44</v>
      </c>
      <c r="U79" s="21">
        <v>15015.36</v>
      </c>
      <c r="V79" s="21">
        <v>39857.06</v>
      </c>
      <c r="W79" s="21">
        <v>40888.32</v>
      </c>
      <c r="X79" s="21">
        <f>-411.95+40600.02</f>
        <v>40188.07</v>
      </c>
      <c r="Y79" s="21">
        <v>39702.96</v>
      </c>
      <c r="Z79" s="21">
        <f>33.17+43110.23</f>
        <v>43143.4</v>
      </c>
      <c r="AA79" s="67">
        <v>41732.4</v>
      </c>
      <c r="AB79" s="80">
        <f t="shared" si="2"/>
        <v>986924.3399999999</v>
      </c>
    </row>
    <row r="80" spans="1:28" s="4" customFormat="1" ht="12.75">
      <c r="A80" s="123"/>
      <c r="B80" s="139"/>
      <c r="C80" s="126"/>
      <c r="D80" s="9" t="s">
        <v>2</v>
      </c>
      <c r="E80" s="21">
        <v>69779.99</v>
      </c>
      <c r="F80" s="21">
        <v>40399.91</v>
      </c>
      <c r="G80" s="21">
        <v>43347.25</v>
      </c>
      <c r="H80" s="21">
        <v>42768.05</v>
      </c>
      <c r="I80" s="21">
        <v>34326.84</v>
      </c>
      <c r="J80" s="21">
        <v>9815.69</v>
      </c>
      <c r="K80" s="21">
        <v>9458.93</v>
      </c>
      <c r="L80" s="21">
        <v>47522.76</v>
      </c>
      <c r="M80" s="21">
        <v>10907.44</v>
      </c>
      <c r="N80" s="21">
        <v>0</v>
      </c>
      <c r="O80" s="21">
        <v>85579.73</v>
      </c>
      <c r="P80" s="21">
        <v>167423.05</v>
      </c>
      <c r="Q80" s="21">
        <v>11108.47</v>
      </c>
      <c r="R80" s="21">
        <v>85478.33</v>
      </c>
      <c r="S80" s="21">
        <f>2.55+17309.53</f>
        <v>17312.079999999998</v>
      </c>
      <c r="T80" s="21">
        <v>19584.97</v>
      </c>
      <c r="U80" s="21">
        <v>14771.29</v>
      </c>
      <c r="V80" s="21">
        <v>38247.32</v>
      </c>
      <c r="W80" s="21">
        <v>40569.77</v>
      </c>
      <c r="X80" s="21">
        <v>40152.58</v>
      </c>
      <c r="Y80" s="21">
        <v>39798.11</v>
      </c>
      <c r="Z80" s="21">
        <v>42512.62</v>
      </c>
      <c r="AA80" s="67">
        <v>40793.68</v>
      </c>
      <c r="AB80" s="81">
        <f t="shared" si="2"/>
        <v>951658.8599999998</v>
      </c>
    </row>
    <row r="81" spans="1:28" s="4" customFormat="1" ht="12.75">
      <c r="A81" s="123"/>
      <c r="B81" s="139"/>
      <c r="C81" s="126"/>
      <c r="D81" s="9" t="s">
        <v>4</v>
      </c>
      <c r="E81" s="21">
        <f aca="true" t="shared" si="38" ref="E81:H82">+E79</f>
        <v>70591.11</v>
      </c>
      <c r="F81" s="21">
        <f t="shared" si="38"/>
        <v>41659.2</v>
      </c>
      <c r="G81" s="21">
        <f t="shared" si="38"/>
        <v>44236.08</v>
      </c>
      <c r="H81" s="21">
        <f t="shared" si="38"/>
        <v>43464.48</v>
      </c>
      <c r="I81" s="21">
        <f aca="true" t="shared" si="39" ref="I81:AA81">+I79</f>
        <v>34510.91</v>
      </c>
      <c r="J81" s="21">
        <f t="shared" si="39"/>
        <v>9812.060000000001</v>
      </c>
      <c r="K81" s="21">
        <f t="shared" si="39"/>
        <v>10738.56</v>
      </c>
      <c r="L81" s="21">
        <f t="shared" si="39"/>
        <v>48643.14</v>
      </c>
      <c r="M81" s="21">
        <f t="shared" si="39"/>
        <v>10761.6</v>
      </c>
      <c r="N81" s="21">
        <f>+N79</f>
        <v>19741.03</v>
      </c>
      <c r="O81" s="21">
        <f t="shared" si="39"/>
        <v>88663.29</v>
      </c>
      <c r="P81" s="21">
        <f t="shared" si="39"/>
        <v>163356.91999999998</v>
      </c>
      <c r="Q81" s="21">
        <f t="shared" si="39"/>
        <v>14158</v>
      </c>
      <c r="R81" s="21">
        <f t="shared" si="39"/>
        <v>89346.59</v>
      </c>
      <c r="S81" s="21">
        <f t="shared" si="39"/>
        <v>17572.36</v>
      </c>
      <c r="T81" s="21">
        <f t="shared" si="39"/>
        <v>19141.44</v>
      </c>
      <c r="U81" s="21">
        <f t="shared" si="39"/>
        <v>15015.36</v>
      </c>
      <c r="V81" s="21">
        <f t="shared" si="39"/>
        <v>39857.06</v>
      </c>
      <c r="W81" s="21">
        <f t="shared" si="39"/>
        <v>40888.32</v>
      </c>
      <c r="X81" s="21">
        <f t="shared" si="39"/>
        <v>40188.07</v>
      </c>
      <c r="Y81" s="21">
        <f t="shared" si="39"/>
        <v>39702.96</v>
      </c>
      <c r="Z81" s="21">
        <f t="shared" si="39"/>
        <v>43143.4</v>
      </c>
      <c r="AA81" s="67">
        <f t="shared" si="39"/>
        <v>41732.4</v>
      </c>
      <c r="AB81" s="80">
        <f t="shared" si="2"/>
        <v>986924.3399999999</v>
      </c>
    </row>
    <row r="82" spans="1:28" s="4" customFormat="1" ht="12.75">
      <c r="A82" s="123"/>
      <c r="B82" s="139"/>
      <c r="C82" s="126"/>
      <c r="D82" s="9" t="s">
        <v>3</v>
      </c>
      <c r="E82" s="22">
        <f t="shared" si="38"/>
        <v>69779.99</v>
      </c>
      <c r="F82" s="47">
        <f t="shared" si="38"/>
        <v>40399.91</v>
      </c>
      <c r="G82" s="22">
        <f t="shared" si="38"/>
        <v>43347.25</v>
      </c>
      <c r="H82" s="22">
        <f t="shared" si="38"/>
        <v>42768.05</v>
      </c>
      <c r="I82" s="22">
        <f aca="true" t="shared" si="40" ref="I82:AA82">+I80</f>
        <v>34326.84</v>
      </c>
      <c r="J82" s="22">
        <f t="shared" si="40"/>
        <v>9815.69</v>
      </c>
      <c r="K82" s="22">
        <f t="shared" si="40"/>
        <v>9458.93</v>
      </c>
      <c r="L82" s="22">
        <f t="shared" si="40"/>
        <v>47522.76</v>
      </c>
      <c r="M82" s="22">
        <f t="shared" si="40"/>
        <v>10907.44</v>
      </c>
      <c r="N82" s="22">
        <f>+N80</f>
        <v>0</v>
      </c>
      <c r="O82" s="22">
        <f t="shared" si="40"/>
        <v>85579.73</v>
      </c>
      <c r="P82" s="22">
        <f t="shared" si="40"/>
        <v>167423.05</v>
      </c>
      <c r="Q82" s="22">
        <f t="shared" si="40"/>
        <v>11108.47</v>
      </c>
      <c r="R82" s="22">
        <f t="shared" si="40"/>
        <v>85478.33</v>
      </c>
      <c r="S82" s="22">
        <f t="shared" si="40"/>
        <v>17312.079999999998</v>
      </c>
      <c r="T82" s="22">
        <f t="shared" si="40"/>
        <v>19584.97</v>
      </c>
      <c r="U82" s="22">
        <f t="shared" si="40"/>
        <v>14771.29</v>
      </c>
      <c r="V82" s="22">
        <f t="shared" si="40"/>
        <v>38247.32</v>
      </c>
      <c r="W82" s="22">
        <f t="shared" si="40"/>
        <v>40569.77</v>
      </c>
      <c r="X82" s="22">
        <f t="shared" si="40"/>
        <v>40152.58</v>
      </c>
      <c r="Y82" s="22">
        <f t="shared" si="40"/>
        <v>39798.11</v>
      </c>
      <c r="Z82" s="22">
        <f t="shared" si="40"/>
        <v>42512.62</v>
      </c>
      <c r="AA82" s="68">
        <f t="shared" si="40"/>
        <v>40793.68</v>
      </c>
      <c r="AB82" s="71">
        <f t="shared" si="2"/>
        <v>951658.8599999998</v>
      </c>
    </row>
    <row r="83" spans="1:28" s="1" customFormat="1" ht="13.5" thickBot="1">
      <c r="A83" s="123"/>
      <c r="B83" s="140"/>
      <c r="C83" s="127"/>
      <c r="D83" s="13" t="s">
        <v>83</v>
      </c>
      <c r="E83" s="23">
        <f>E78+E79-E80</f>
        <v>18881.42</v>
      </c>
      <c r="F83" s="51">
        <f>F78+F79-F80</f>
        <v>907.3799999999901</v>
      </c>
      <c r="G83" s="51">
        <f>G78+G79-G80</f>
        <v>4588.889999999999</v>
      </c>
      <c r="H83" s="51">
        <f aca="true" t="shared" si="41" ref="H83:AA83">H78+H79-H80</f>
        <v>11463.18</v>
      </c>
      <c r="I83" s="51">
        <f t="shared" si="41"/>
        <v>5695.1600000000035</v>
      </c>
      <c r="J83" s="51">
        <f t="shared" si="41"/>
        <v>2133.25</v>
      </c>
      <c r="K83" s="51">
        <f t="shared" si="41"/>
        <v>6815.369999999999</v>
      </c>
      <c r="L83" s="51">
        <f t="shared" si="41"/>
        <v>6139.25</v>
      </c>
      <c r="M83" s="51">
        <f t="shared" si="41"/>
        <v>1346.2299999999996</v>
      </c>
      <c r="N83" s="51">
        <f t="shared" si="41"/>
        <v>0</v>
      </c>
      <c r="O83" s="51">
        <f t="shared" si="41"/>
        <v>16082.190000000002</v>
      </c>
      <c r="P83" s="51">
        <f t="shared" si="41"/>
        <v>25717.359999999986</v>
      </c>
      <c r="Q83" s="51">
        <f t="shared" si="41"/>
        <v>5134.18</v>
      </c>
      <c r="R83" s="51">
        <f t="shared" si="41"/>
        <v>21818.61</v>
      </c>
      <c r="S83" s="23">
        <f t="shared" si="41"/>
        <v>-1664.069999999998</v>
      </c>
      <c r="T83" s="51">
        <f t="shared" si="41"/>
        <v>1819.619999999999</v>
      </c>
      <c r="U83" s="51">
        <f t="shared" si="41"/>
        <v>4116.5</v>
      </c>
      <c r="V83" s="51">
        <f t="shared" si="41"/>
        <v>10132.739999999998</v>
      </c>
      <c r="W83" s="51">
        <f>W78+W79-W80</f>
        <v>5120.870000000003</v>
      </c>
      <c r="X83" s="51">
        <f t="shared" si="41"/>
        <v>6663.0999999999985</v>
      </c>
      <c r="Y83" s="51">
        <f t="shared" si="41"/>
        <v>9501.979999999996</v>
      </c>
      <c r="Z83" s="51">
        <f t="shared" si="41"/>
        <v>7402.010000000002</v>
      </c>
      <c r="AA83" s="90">
        <f t="shared" si="41"/>
        <v>2745.8899999999994</v>
      </c>
      <c r="AB83" s="73">
        <f t="shared" si="2"/>
        <v>172561.11</v>
      </c>
    </row>
    <row r="84" spans="1:28" s="4" customFormat="1" ht="12.75">
      <c r="A84" s="123">
        <v>12</v>
      </c>
      <c r="B84" s="138" t="s">
        <v>16</v>
      </c>
      <c r="C84" s="125" t="s">
        <v>15</v>
      </c>
      <c r="D84" s="14" t="s">
        <v>84</v>
      </c>
      <c r="E84" s="20">
        <v>61336.97</v>
      </c>
      <c r="F84" s="46">
        <v>9204.66</v>
      </c>
      <c r="G84" s="52">
        <f>18127.76-1125.16</f>
        <v>17002.6</v>
      </c>
      <c r="H84" s="20">
        <v>40262.46</v>
      </c>
      <c r="I84" s="52">
        <v>18818.64</v>
      </c>
      <c r="J84" s="52">
        <v>7447.73</v>
      </c>
      <c r="K84" s="52">
        <v>21212.64</v>
      </c>
      <c r="L84" s="52">
        <v>20933.04</v>
      </c>
      <c r="M84" s="52">
        <v>5163.07</v>
      </c>
      <c r="N84" s="52">
        <v>14489.23</v>
      </c>
      <c r="O84" s="20">
        <v>60228.14</v>
      </c>
      <c r="P84" s="20">
        <f>648.12+104727.42</f>
        <v>105375.54</v>
      </c>
      <c r="Q84" s="20">
        <v>7711.37</v>
      </c>
      <c r="R84" s="20">
        <v>62802.89</v>
      </c>
      <c r="S84" s="20">
        <v>11437.78</v>
      </c>
      <c r="T84" s="20">
        <v>7836.14</v>
      </c>
      <c r="U84" s="20">
        <v>13727.48</v>
      </c>
      <c r="V84" s="20">
        <v>29534.66</v>
      </c>
      <c r="W84" s="20">
        <v>16596.81</v>
      </c>
      <c r="X84" s="20">
        <v>23756.99</v>
      </c>
      <c r="Y84" s="20">
        <v>33028.78</v>
      </c>
      <c r="Z84" s="20">
        <v>22933.22</v>
      </c>
      <c r="AA84" s="77">
        <v>7568.17</v>
      </c>
      <c r="AB84" s="70">
        <f t="shared" si="2"/>
        <v>618409.0100000001</v>
      </c>
    </row>
    <row r="85" spans="1:28" s="4" customFormat="1" ht="12.75">
      <c r="A85" s="123"/>
      <c r="B85" s="139"/>
      <c r="C85" s="126"/>
      <c r="D85" s="9" t="s">
        <v>1</v>
      </c>
      <c r="E85" s="21">
        <v>243999.41</v>
      </c>
      <c r="F85" s="47">
        <v>144033.51</v>
      </c>
      <c r="G85" s="22">
        <f>153369.84+1125.16</f>
        <v>154495</v>
      </c>
      <c r="H85" s="21">
        <v>151813.14</v>
      </c>
      <c r="I85" s="22">
        <v>119592.29</v>
      </c>
      <c r="J85" s="22">
        <v>38781.24</v>
      </c>
      <c r="K85" s="22">
        <v>37143.53</v>
      </c>
      <c r="L85" s="22">
        <v>172072.18</v>
      </c>
      <c r="M85" s="22">
        <v>37192.51</v>
      </c>
      <c r="N85" s="22">
        <v>49095.9</v>
      </c>
      <c r="O85" s="21">
        <v>310109.25</v>
      </c>
      <c r="P85" s="21">
        <f>-648.12+591718.91</f>
        <v>591070.79</v>
      </c>
      <c r="Q85" s="21">
        <v>52789.81</v>
      </c>
      <c r="R85" s="21">
        <v>308767.25</v>
      </c>
      <c r="S85" s="21">
        <v>67181.6</v>
      </c>
      <c r="T85" s="21">
        <v>66220.88</v>
      </c>
      <c r="U85" s="21">
        <v>90217.06</v>
      </c>
      <c r="V85" s="21">
        <v>140029.78</v>
      </c>
      <c r="W85" s="21">
        <v>141407.07</v>
      </c>
      <c r="X85" s="21">
        <v>138640.4</v>
      </c>
      <c r="Y85" s="21">
        <v>137451.19</v>
      </c>
      <c r="Z85" s="21">
        <v>151260.5</v>
      </c>
      <c r="AA85" s="67">
        <v>144330.8</v>
      </c>
      <c r="AB85" s="71">
        <f t="shared" si="2"/>
        <v>3487695.0899999994</v>
      </c>
    </row>
    <row r="86" spans="1:28" s="4" customFormat="1" ht="12.75">
      <c r="A86" s="123"/>
      <c r="B86" s="139"/>
      <c r="C86" s="126"/>
      <c r="D86" s="9" t="s">
        <v>2</v>
      </c>
      <c r="E86" s="21">
        <v>244144.82</v>
      </c>
      <c r="F86" s="47">
        <v>141629.94</v>
      </c>
      <c r="G86" s="22">
        <v>150423.92</v>
      </c>
      <c r="H86" s="21">
        <v>149447.77</v>
      </c>
      <c r="I86" s="22">
        <v>119048.37</v>
      </c>
      <c r="J86" s="22">
        <v>38401.6</v>
      </c>
      <c r="K86" s="22">
        <v>32822.4</v>
      </c>
      <c r="L86" s="22">
        <v>169313.58</v>
      </c>
      <c r="M86" s="22">
        <v>37695.81</v>
      </c>
      <c r="N86" s="22">
        <v>46885.51</v>
      </c>
      <c r="O86" s="21">
        <v>302815.14</v>
      </c>
      <c r="P86" s="21">
        <v>606995.76</v>
      </c>
      <c r="Q86" s="21">
        <v>42351.49</v>
      </c>
      <c r="R86" s="21">
        <v>295553.99</v>
      </c>
      <c r="S86" s="21">
        <v>69074.73</v>
      </c>
      <c r="T86" s="21">
        <v>67756.3</v>
      </c>
      <c r="U86" s="21">
        <v>86343.48</v>
      </c>
      <c r="V86" s="21">
        <v>134183.89</v>
      </c>
      <c r="W86" s="21">
        <v>140302.54</v>
      </c>
      <c r="X86" s="21">
        <v>139170.03</v>
      </c>
      <c r="Y86" s="21">
        <v>137708.61</v>
      </c>
      <c r="Z86" s="21">
        <v>149261.12</v>
      </c>
      <c r="AA86" s="67">
        <v>141477.42</v>
      </c>
      <c r="AB86" s="72">
        <f t="shared" si="2"/>
        <v>3442808.2199999993</v>
      </c>
    </row>
    <row r="87" spans="1:28" s="4" customFormat="1" ht="12.75">
      <c r="A87" s="123"/>
      <c r="B87" s="139"/>
      <c r="C87" s="126"/>
      <c r="D87" s="9" t="s">
        <v>4</v>
      </c>
      <c r="E87" s="21">
        <f>+E85</f>
        <v>243999.41</v>
      </c>
      <c r="F87" s="21">
        <f aca="true" t="shared" si="42" ref="F87:AA87">+F85</f>
        <v>144033.51</v>
      </c>
      <c r="G87" s="21">
        <f t="shared" si="42"/>
        <v>154495</v>
      </c>
      <c r="H87" s="21">
        <f t="shared" si="42"/>
        <v>151813.14</v>
      </c>
      <c r="I87" s="21">
        <f t="shared" si="42"/>
        <v>119592.29</v>
      </c>
      <c r="J87" s="21">
        <f t="shared" si="42"/>
        <v>38781.24</v>
      </c>
      <c r="K87" s="21">
        <f t="shared" si="42"/>
        <v>37143.53</v>
      </c>
      <c r="L87" s="21">
        <f t="shared" si="42"/>
        <v>172072.18</v>
      </c>
      <c r="M87" s="21">
        <f t="shared" si="42"/>
        <v>37192.51</v>
      </c>
      <c r="N87" s="21">
        <f t="shared" si="42"/>
        <v>49095.9</v>
      </c>
      <c r="O87" s="21">
        <f t="shared" si="42"/>
        <v>310109.25</v>
      </c>
      <c r="P87" s="21">
        <f t="shared" si="42"/>
        <v>591070.79</v>
      </c>
      <c r="Q87" s="21">
        <f t="shared" si="42"/>
        <v>52789.81</v>
      </c>
      <c r="R87" s="21">
        <f t="shared" si="42"/>
        <v>308767.25</v>
      </c>
      <c r="S87" s="21">
        <f t="shared" si="42"/>
        <v>67181.6</v>
      </c>
      <c r="T87" s="21">
        <f t="shared" si="42"/>
        <v>66220.88</v>
      </c>
      <c r="U87" s="21">
        <f t="shared" si="42"/>
        <v>90217.06</v>
      </c>
      <c r="V87" s="21">
        <f t="shared" si="42"/>
        <v>140029.78</v>
      </c>
      <c r="W87" s="21">
        <f t="shared" si="42"/>
        <v>141407.07</v>
      </c>
      <c r="X87" s="21">
        <f t="shared" si="42"/>
        <v>138640.4</v>
      </c>
      <c r="Y87" s="21">
        <f t="shared" si="42"/>
        <v>137451.19</v>
      </c>
      <c r="Z87" s="21">
        <f t="shared" si="42"/>
        <v>151260.5</v>
      </c>
      <c r="AA87" s="21">
        <f t="shared" si="42"/>
        <v>144330.8</v>
      </c>
      <c r="AB87" s="71">
        <f t="shared" si="2"/>
        <v>3487695.0899999994</v>
      </c>
    </row>
    <row r="88" spans="1:28" s="4" customFormat="1" ht="12.75">
      <c r="A88" s="123"/>
      <c r="B88" s="139"/>
      <c r="C88" s="126"/>
      <c r="D88" s="9" t="s">
        <v>3</v>
      </c>
      <c r="E88" s="22">
        <f>+E86</f>
        <v>244144.82</v>
      </c>
      <c r="F88" s="22">
        <f>F87+F84</f>
        <v>153238.17</v>
      </c>
      <c r="G88" s="22">
        <f>G87+G84</f>
        <v>171497.6</v>
      </c>
      <c r="H88" s="22">
        <f aca="true" t="shared" si="43" ref="H88:Z88">+H86</f>
        <v>149447.77</v>
      </c>
      <c r="I88" s="22">
        <f t="shared" si="43"/>
        <v>119048.37</v>
      </c>
      <c r="J88" s="22">
        <f t="shared" si="43"/>
        <v>38401.6</v>
      </c>
      <c r="K88" s="22">
        <f t="shared" si="43"/>
        <v>32822.4</v>
      </c>
      <c r="L88" s="22">
        <f>L87+L84</f>
        <v>193005.22</v>
      </c>
      <c r="M88" s="22">
        <f t="shared" si="43"/>
        <v>37695.81</v>
      </c>
      <c r="N88" s="22">
        <f t="shared" si="43"/>
        <v>46885.51</v>
      </c>
      <c r="O88" s="22">
        <f t="shared" si="43"/>
        <v>302815.14</v>
      </c>
      <c r="P88" s="22">
        <f t="shared" si="43"/>
        <v>606995.76</v>
      </c>
      <c r="Q88" s="22">
        <f t="shared" si="43"/>
        <v>42351.49</v>
      </c>
      <c r="R88" s="22">
        <f t="shared" si="43"/>
        <v>295553.99</v>
      </c>
      <c r="S88" s="22">
        <f>S87+S84</f>
        <v>78619.38</v>
      </c>
      <c r="T88" s="22">
        <f>T87+T84</f>
        <v>74057.02</v>
      </c>
      <c r="U88" s="22">
        <f t="shared" si="43"/>
        <v>86343.48</v>
      </c>
      <c r="V88" s="22">
        <f t="shared" si="43"/>
        <v>134183.89</v>
      </c>
      <c r="W88" s="22">
        <f t="shared" si="43"/>
        <v>140302.54</v>
      </c>
      <c r="X88" s="22">
        <f t="shared" si="43"/>
        <v>139170.03</v>
      </c>
      <c r="Y88" s="22">
        <f t="shared" si="43"/>
        <v>137708.61</v>
      </c>
      <c r="Z88" s="22">
        <f t="shared" si="43"/>
        <v>149261.12</v>
      </c>
      <c r="AA88" s="22">
        <f>AA87+AA84</f>
        <v>151898.97</v>
      </c>
      <c r="AB88" s="71">
        <f t="shared" si="2"/>
        <v>3525448.6900000004</v>
      </c>
    </row>
    <row r="89" spans="1:28" s="1" customFormat="1" ht="13.5" thickBot="1">
      <c r="A89" s="141"/>
      <c r="B89" s="140"/>
      <c r="C89" s="128"/>
      <c r="D89" s="13" t="s">
        <v>83</v>
      </c>
      <c r="E89" s="24">
        <f>E84+E85-E86</f>
        <v>61191.56</v>
      </c>
      <c r="F89" s="42">
        <f aca="true" t="shared" si="44" ref="F89:AA89">F84+F85-F86</f>
        <v>11608.23000000001</v>
      </c>
      <c r="G89" s="30">
        <f>G84+G85-G86</f>
        <v>21073.679999999993</v>
      </c>
      <c r="H89" s="24">
        <f t="shared" si="44"/>
        <v>42627.830000000016</v>
      </c>
      <c r="I89" s="24">
        <f t="shared" si="44"/>
        <v>19362.559999999998</v>
      </c>
      <c r="J89" s="24">
        <f t="shared" si="44"/>
        <v>7827.370000000003</v>
      </c>
      <c r="K89" s="24">
        <f t="shared" si="44"/>
        <v>25533.769999999997</v>
      </c>
      <c r="L89" s="24">
        <f t="shared" si="44"/>
        <v>23691.640000000014</v>
      </c>
      <c r="M89" s="24">
        <f t="shared" si="44"/>
        <v>4659.770000000004</v>
      </c>
      <c r="N89" s="24">
        <f t="shared" si="44"/>
        <v>16699.620000000003</v>
      </c>
      <c r="O89" s="24">
        <f t="shared" si="44"/>
        <v>67522.25</v>
      </c>
      <c r="P89" s="24">
        <f>P84+P85-P86</f>
        <v>89450.57000000007</v>
      </c>
      <c r="Q89" s="24">
        <f t="shared" si="44"/>
        <v>18149.690000000002</v>
      </c>
      <c r="R89" s="24">
        <f t="shared" si="44"/>
        <v>76016.15000000002</v>
      </c>
      <c r="S89" s="24">
        <f t="shared" si="44"/>
        <v>9544.650000000009</v>
      </c>
      <c r="T89" s="24">
        <f t="shared" si="44"/>
        <v>6300.720000000001</v>
      </c>
      <c r="U89" s="24">
        <f t="shared" si="44"/>
        <v>17601.059999999998</v>
      </c>
      <c r="V89" s="24">
        <f t="shared" si="44"/>
        <v>35380.54999999999</v>
      </c>
      <c r="W89" s="24">
        <f t="shared" si="44"/>
        <v>17701.339999999997</v>
      </c>
      <c r="X89" s="24">
        <f>X84+X85-X86</f>
        <v>23227.359999999986</v>
      </c>
      <c r="Y89" s="24">
        <f>Y84+Y85-Y86</f>
        <v>32771.360000000015</v>
      </c>
      <c r="Z89" s="24">
        <f t="shared" si="44"/>
        <v>24932.600000000006</v>
      </c>
      <c r="AA89" s="76">
        <f t="shared" si="44"/>
        <v>10421.549999999988</v>
      </c>
      <c r="AB89" s="73">
        <f t="shared" si="2"/>
        <v>663295.8800000001</v>
      </c>
    </row>
    <row r="90" spans="1:28" ht="13.5" customHeight="1">
      <c r="A90" s="99" t="s">
        <v>52</v>
      </c>
      <c r="B90" s="100"/>
      <c r="C90" s="100"/>
      <c r="D90" s="100"/>
      <c r="E90" s="31"/>
      <c r="F90" s="57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60"/>
      <c r="AB90" s="65"/>
    </row>
    <row r="91" spans="1:28" ht="12.75" customHeight="1">
      <c r="A91" s="101"/>
      <c r="B91" s="102"/>
      <c r="C91" s="102"/>
      <c r="D91" s="10" t="s">
        <v>84</v>
      </c>
      <c r="E91" s="32">
        <f>+E6+E12+E18+E24+E30+E36+E42+E48+E54+E60+E66+E72+E78+E84</f>
        <v>2081598.1199999999</v>
      </c>
      <c r="F91" s="58">
        <f aca="true" t="shared" si="45" ref="F91:AB95">+F6+F12+F18+F24+F30+F36+F42+F48+F54+F60+F66+F72+F78+F84</f>
        <v>351957.06</v>
      </c>
      <c r="G91" s="32">
        <f t="shared" si="45"/>
        <v>473186.0399999999</v>
      </c>
      <c r="H91" s="32">
        <f t="shared" si="45"/>
        <v>1019629.43</v>
      </c>
      <c r="I91" s="32">
        <f t="shared" si="45"/>
        <v>516693.76000000007</v>
      </c>
      <c r="J91" s="32">
        <f t="shared" si="45"/>
        <v>224689.44600000003</v>
      </c>
      <c r="K91" s="32">
        <f t="shared" si="45"/>
        <v>662772.6499999999</v>
      </c>
      <c r="L91" s="32">
        <f t="shared" si="45"/>
        <v>487880.06</v>
      </c>
      <c r="M91" s="32">
        <f t="shared" si="45"/>
        <v>128136.19000000003</v>
      </c>
      <c r="N91" s="32">
        <f t="shared" si="45"/>
        <v>349059.2300000001</v>
      </c>
      <c r="O91" s="32">
        <f t="shared" si="45"/>
        <v>1603431.6199999996</v>
      </c>
      <c r="P91" s="32">
        <f t="shared" si="45"/>
        <v>2670905.5100000002</v>
      </c>
      <c r="Q91" s="32">
        <f t="shared" si="45"/>
        <v>100507.90000000001</v>
      </c>
      <c r="R91" s="32">
        <f t="shared" si="45"/>
        <v>2185324.1800000006</v>
      </c>
      <c r="S91" s="32">
        <f t="shared" si="45"/>
        <v>75725.03</v>
      </c>
      <c r="T91" s="32">
        <f t="shared" si="45"/>
        <v>102287.22</v>
      </c>
      <c r="U91" s="32">
        <f t="shared" si="45"/>
        <v>289276.80999999994</v>
      </c>
      <c r="V91" s="32">
        <f t="shared" si="45"/>
        <v>1024744.8000000002</v>
      </c>
      <c r="W91" s="32">
        <f t="shared" si="45"/>
        <v>463282.12000000005</v>
      </c>
      <c r="X91" s="32">
        <f t="shared" si="45"/>
        <v>748590.6599999999</v>
      </c>
      <c r="Y91" s="32">
        <f t="shared" si="45"/>
        <v>1240784.711</v>
      </c>
      <c r="Z91" s="32">
        <f t="shared" si="45"/>
        <v>739283.75</v>
      </c>
      <c r="AA91" s="61">
        <f t="shared" si="45"/>
        <v>328210.48</v>
      </c>
      <c r="AB91" s="63">
        <f t="shared" si="45"/>
        <v>17867956.777000003</v>
      </c>
    </row>
    <row r="92" spans="1:28" ht="12.75">
      <c r="A92" s="101"/>
      <c r="B92" s="102"/>
      <c r="C92" s="102"/>
      <c r="D92" s="10" t="s">
        <v>1</v>
      </c>
      <c r="E92" s="32">
        <f>+E7+E13+E19+E25+E31+E37+E43+E49+E55+E61+E67+E73+E79+E85</f>
        <v>5341989.530000001</v>
      </c>
      <c r="F92" s="58">
        <f aca="true" t="shared" si="46" ref="F92:T92">+F7+F13+F19+F25+F31+F37+F43+F49+F55+F61+F67+F73+F79+F85</f>
        <v>3952349.7800000003</v>
      </c>
      <c r="G92" s="32">
        <f t="shared" si="46"/>
        <v>3651334.1</v>
      </c>
      <c r="H92" s="32">
        <f t="shared" si="46"/>
        <v>3493981.92</v>
      </c>
      <c r="I92" s="32">
        <f t="shared" si="46"/>
        <v>3422693.14</v>
      </c>
      <c r="J92" s="32">
        <f t="shared" si="46"/>
        <v>974216.4299999999</v>
      </c>
      <c r="K92" s="32">
        <f t="shared" si="46"/>
        <v>1016836.7800000001</v>
      </c>
      <c r="L92" s="32">
        <f t="shared" si="46"/>
        <v>3719713.79</v>
      </c>
      <c r="M92" s="32">
        <f t="shared" si="46"/>
        <v>731582.05</v>
      </c>
      <c r="N92" s="32">
        <f t="shared" si="46"/>
        <v>1089314.6800000002</v>
      </c>
      <c r="O92" s="32">
        <f t="shared" si="46"/>
        <v>6870485.18</v>
      </c>
      <c r="P92" s="32">
        <f t="shared" si="46"/>
        <v>12102974.259999998</v>
      </c>
      <c r="Q92" s="32">
        <f t="shared" si="46"/>
        <v>1034412.0399999998</v>
      </c>
      <c r="R92" s="32">
        <f t="shared" si="46"/>
        <v>7085631.4399999995</v>
      </c>
      <c r="S92" s="32">
        <f t="shared" si="46"/>
        <v>1610234.1600000004</v>
      </c>
      <c r="T92" s="32">
        <f t="shared" si="46"/>
        <v>1115690.87</v>
      </c>
      <c r="U92" s="32">
        <f t="shared" si="45"/>
        <v>1546210.37</v>
      </c>
      <c r="V92" s="32">
        <f t="shared" si="45"/>
        <v>4366290.09</v>
      </c>
      <c r="W92" s="32">
        <f t="shared" si="45"/>
        <v>4224396.77</v>
      </c>
      <c r="X92" s="32">
        <f t="shared" si="45"/>
        <v>4286568.11</v>
      </c>
      <c r="Y92" s="32">
        <f t="shared" si="45"/>
        <v>4342469.180000001</v>
      </c>
      <c r="Z92" s="32">
        <f t="shared" si="45"/>
        <v>3859102.8899999997</v>
      </c>
      <c r="AA92" s="61">
        <f t="shared" si="45"/>
        <v>4185755.9599999995</v>
      </c>
      <c r="AB92" s="63">
        <f t="shared" si="45"/>
        <v>84024233.52</v>
      </c>
    </row>
    <row r="93" spans="1:28" ht="12.75">
      <c r="A93" s="101"/>
      <c r="B93" s="102"/>
      <c r="C93" s="102"/>
      <c r="D93" s="10" t="s">
        <v>2</v>
      </c>
      <c r="E93" s="32">
        <f>+E8+E14+E20+E26+E32+E38+E44+E50+E56+E62+E68+E74+E80+E86</f>
        <v>6625672.49</v>
      </c>
      <c r="F93" s="58">
        <f t="shared" si="45"/>
        <v>4018353.2199999997</v>
      </c>
      <c r="G93" s="32">
        <f t="shared" si="45"/>
        <v>4343856.86</v>
      </c>
      <c r="H93" s="32">
        <f t="shared" si="45"/>
        <v>4041850.4499999997</v>
      </c>
      <c r="I93" s="32">
        <f t="shared" si="45"/>
        <v>3128264.9899999998</v>
      </c>
      <c r="J93" s="32">
        <f t="shared" si="45"/>
        <v>943732.62</v>
      </c>
      <c r="K93" s="32">
        <f t="shared" si="45"/>
        <v>857831.5900000001</v>
      </c>
      <c r="L93" s="32">
        <f t="shared" si="45"/>
        <v>4337712.209999999</v>
      </c>
      <c r="M93" s="32">
        <f t="shared" si="45"/>
        <v>956360.3</v>
      </c>
      <c r="N93" s="32">
        <f t="shared" si="45"/>
        <v>1245470.33</v>
      </c>
      <c r="O93" s="32">
        <f t="shared" si="45"/>
        <v>8028617.889999999</v>
      </c>
      <c r="P93" s="32">
        <f t="shared" si="45"/>
        <v>15049476.350000001</v>
      </c>
      <c r="Q93" s="32">
        <f t="shared" si="45"/>
        <v>1066868.9600000002</v>
      </c>
      <c r="R93" s="32">
        <f t="shared" si="45"/>
        <v>8233429.109999999</v>
      </c>
      <c r="S93" s="32">
        <f t="shared" si="45"/>
        <v>1482556.9000000001</v>
      </c>
      <c r="T93" s="32">
        <f t="shared" si="45"/>
        <v>1579623.54</v>
      </c>
      <c r="U93" s="32">
        <f t="shared" si="45"/>
        <v>1277255.09</v>
      </c>
      <c r="V93" s="32">
        <f t="shared" si="45"/>
        <v>4006632.1899999995</v>
      </c>
      <c r="W93" s="32">
        <f t="shared" si="45"/>
        <v>4149156.7299999995</v>
      </c>
      <c r="X93" s="32">
        <f t="shared" si="45"/>
        <v>4123839.5000000005</v>
      </c>
      <c r="Y93" s="32">
        <f t="shared" si="45"/>
        <v>3940726.8999999994</v>
      </c>
      <c r="Z93" s="32">
        <f t="shared" si="45"/>
        <v>4465521.74</v>
      </c>
      <c r="AA93" s="61">
        <f t="shared" si="45"/>
        <v>3985116.13</v>
      </c>
      <c r="AB93" s="63">
        <f t="shared" si="45"/>
        <v>91887926.08999999</v>
      </c>
    </row>
    <row r="94" spans="1:28" ht="12.75">
      <c r="A94" s="101"/>
      <c r="B94" s="102"/>
      <c r="C94" s="102"/>
      <c r="D94" s="10" t="s">
        <v>4</v>
      </c>
      <c r="E94" s="32">
        <f>+E9+E15+E21+E27+E33+E39+E45+E51+E57+E63+E69+E75+E81+E87</f>
        <v>5341989.530000001</v>
      </c>
      <c r="F94" s="58">
        <f t="shared" si="45"/>
        <v>3952349.7800000003</v>
      </c>
      <c r="G94" s="32">
        <f t="shared" si="45"/>
        <v>3651334.1</v>
      </c>
      <c r="H94" s="32">
        <f t="shared" si="45"/>
        <v>3493981.92</v>
      </c>
      <c r="I94" s="32">
        <f t="shared" si="45"/>
        <v>3422693.14</v>
      </c>
      <c r="J94" s="32">
        <f t="shared" si="45"/>
        <v>974216.4299999999</v>
      </c>
      <c r="K94" s="32">
        <f t="shared" si="45"/>
        <v>1016836.7800000001</v>
      </c>
      <c r="L94" s="32">
        <f t="shared" si="45"/>
        <v>3719713.79</v>
      </c>
      <c r="M94" s="32">
        <f t="shared" si="45"/>
        <v>731582.05</v>
      </c>
      <c r="N94" s="32">
        <f t="shared" si="45"/>
        <v>1089314.6800000002</v>
      </c>
      <c r="O94" s="32">
        <f t="shared" si="45"/>
        <v>6870485.18</v>
      </c>
      <c r="P94" s="32">
        <f t="shared" si="45"/>
        <v>12102974.259999998</v>
      </c>
      <c r="Q94" s="32">
        <f t="shared" si="45"/>
        <v>1034412.0399999998</v>
      </c>
      <c r="R94" s="32">
        <f t="shared" si="45"/>
        <v>7085631.4399999995</v>
      </c>
      <c r="S94" s="32">
        <f t="shared" si="45"/>
        <v>1610234.1600000004</v>
      </c>
      <c r="T94" s="32">
        <f t="shared" si="45"/>
        <v>1115690.87</v>
      </c>
      <c r="U94" s="32">
        <f t="shared" si="45"/>
        <v>1546210.37</v>
      </c>
      <c r="V94" s="32">
        <f t="shared" si="45"/>
        <v>4366290.09</v>
      </c>
      <c r="W94" s="32">
        <f t="shared" si="45"/>
        <v>4224396.77</v>
      </c>
      <c r="X94" s="32">
        <f t="shared" si="45"/>
        <v>4286568.11</v>
      </c>
      <c r="Y94" s="32">
        <f t="shared" si="45"/>
        <v>4342469.180000001</v>
      </c>
      <c r="Z94" s="32">
        <f t="shared" si="45"/>
        <v>3859102.8899999997</v>
      </c>
      <c r="AA94" s="61">
        <f t="shared" si="45"/>
        <v>4185755.9599999995</v>
      </c>
      <c r="AB94" s="63">
        <f t="shared" si="45"/>
        <v>84024233.52</v>
      </c>
    </row>
    <row r="95" spans="1:28" ht="12.75">
      <c r="A95" s="101"/>
      <c r="B95" s="102"/>
      <c r="C95" s="102"/>
      <c r="D95" s="10" t="s">
        <v>3</v>
      </c>
      <c r="E95" s="32">
        <f>+E10+E16+E22+E28+E34+E40+E46+E52+E58+E64+E70+E76+E82+E88</f>
        <v>6625672.49</v>
      </c>
      <c r="F95" s="58">
        <f t="shared" si="45"/>
        <v>4090024.2499999995</v>
      </c>
      <c r="G95" s="32">
        <f t="shared" si="45"/>
        <v>4409300.39</v>
      </c>
      <c r="H95" s="32">
        <f t="shared" si="45"/>
        <v>4041850.4499999997</v>
      </c>
      <c r="I95" s="32">
        <f t="shared" si="45"/>
        <v>3128264.9899999998</v>
      </c>
      <c r="J95" s="32">
        <f t="shared" si="45"/>
        <v>943732.62</v>
      </c>
      <c r="K95" s="32">
        <f t="shared" si="45"/>
        <v>857831.5900000001</v>
      </c>
      <c r="L95" s="32">
        <f t="shared" si="45"/>
        <v>4436468.179999999</v>
      </c>
      <c r="M95" s="32">
        <f t="shared" si="45"/>
        <v>956360.3</v>
      </c>
      <c r="N95" s="32">
        <f t="shared" si="45"/>
        <v>1245470.33</v>
      </c>
      <c r="O95" s="32">
        <f t="shared" si="45"/>
        <v>8028617.889999999</v>
      </c>
      <c r="P95" s="32">
        <f t="shared" si="45"/>
        <v>15049476.350000001</v>
      </c>
      <c r="Q95" s="32">
        <f t="shared" si="45"/>
        <v>1066868.9600000002</v>
      </c>
      <c r="R95" s="32">
        <f t="shared" si="45"/>
        <v>8233429.109999999</v>
      </c>
      <c r="S95" s="32">
        <f t="shared" si="45"/>
        <v>1507201.0900000003</v>
      </c>
      <c r="T95" s="32">
        <f t="shared" si="45"/>
        <v>1585924.26</v>
      </c>
      <c r="U95" s="32">
        <f t="shared" si="45"/>
        <v>1277255.09</v>
      </c>
      <c r="V95" s="32">
        <f t="shared" si="45"/>
        <v>4006632.1899999995</v>
      </c>
      <c r="W95" s="32">
        <f t="shared" si="45"/>
        <v>4149156.7299999995</v>
      </c>
      <c r="X95" s="32">
        <f t="shared" si="45"/>
        <v>4123839.5000000005</v>
      </c>
      <c r="Y95" s="32">
        <f t="shared" si="45"/>
        <v>3940726.8999999994</v>
      </c>
      <c r="Z95" s="32">
        <f t="shared" si="45"/>
        <v>4465521.74</v>
      </c>
      <c r="AA95" s="61">
        <f t="shared" si="45"/>
        <v>4007446.58</v>
      </c>
      <c r="AB95" s="63">
        <f t="shared" si="45"/>
        <v>92177071.97999999</v>
      </c>
    </row>
    <row r="96" spans="1:28" s="2" customFormat="1" ht="13.5" thickBot="1">
      <c r="A96" s="103"/>
      <c r="B96" s="104"/>
      <c r="C96" s="104"/>
      <c r="D96" s="12" t="s">
        <v>83</v>
      </c>
      <c r="E96" s="33">
        <f>E89+E83+E77+E71+E65+E59+E53+E47+E41+E35+E29+E23+E17+E11</f>
        <v>797915.1599999992</v>
      </c>
      <c r="F96" s="59">
        <f aca="true" t="shared" si="47" ref="F96:AB96">F89+F83+F77+F71+F65+F59+F53+F47+F41+F35+F29+F23+F17+F11</f>
        <v>285953.6199999999</v>
      </c>
      <c r="G96" s="33">
        <f t="shared" si="47"/>
        <v>-219336.7200000001</v>
      </c>
      <c r="H96" s="33">
        <f t="shared" si="47"/>
        <v>471760.8999999999</v>
      </c>
      <c r="I96" s="33">
        <f t="shared" si="47"/>
        <v>811121.9099999998</v>
      </c>
      <c r="J96" s="33">
        <f t="shared" si="47"/>
        <v>255173.25599999994</v>
      </c>
      <c r="K96" s="33">
        <f t="shared" si="47"/>
        <v>821777.8399999999</v>
      </c>
      <c r="L96" s="33">
        <f t="shared" si="47"/>
        <v>-130118.35999999993</v>
      </c>
      <c r="M96" s="33">
        <f t="shared" si="47"/>
        <v>-96642.06000000003</v>
      </c>
      <c r="N96" s="33">
        <f t="shared" si="47"/>
        <v>192903.58000000013</v>
      </c>
      <c r="O96" s="33">
        <f t="shared" si="47"/>
        <v>445298.91000000044</v>
      </c>
      <c r="P96" s="33">
        <f t="shared" si="47"/>
        <v>-275596.5800000002</v>
      </c>
      <c r="Q96" s="33">
        <f t="shared" si="47"/>
        <v>68050.97999999994</v>
      </c>
      <c r="R96" s="33">
        <f t="shared" si="47"/>
        <v>1037526.5100000009</v>
      </c>
      <c r="S96" s="33">
        <f t="shared" si="47"/>
        <v>203402.29000000004</v>
      </c>
      <c r="T96" s="33">
        <f t="shared" si="47"/>
        <v>-361645.4499999999</v>
      </c>
      <c r="U96" s="33">
        <f t="shared" si="47"/>
        <v>558232.0900000001</v>
      </c>
      <c r="V96" s="33">
        <f t="shared" si="47"/>
        <v>1384402.7000000002</v>
      </c>
      <c r="W96" s="33">
        <f t="shared" si="47"/>
        <v>538522.16</v>
      </c>
      <c r="X96" s="33">
        <f t="shared" si="47"/>
        <v>911319.2699999998</v>
      </c>
      <c r="Y96" s="33">
        <f t="shared" si="47"/>
        <v>1642526.9910000004</v>
      </c>
      <c r="Z96" s="33">
        <f t="shared" si="47"/>
        <v>132864.90000000014</v>
      </c>
      <c r="AA96" s="89">
        <f t="shared" si="47"/>
        <v>528850.31</v>
      </c>
      <c r="AB96" s="64">
        <f t="shared" si="47"/>
        <v>10004264.206999999</v>
      </c>
    </row>
    <row r="97" spans="1:28" s="16" customFormat="1" ht="12.75" customHeight="1">
      <c r="A97" s="142">
        <v>16</v>
      </c>
      <c r="B97" s="130" t="s">
        <v>50</v>
      </c>
      <c r="C97" s="126" t="s">
        <v>31</v>
      </c>
      <c r="D97" s="14" t="s">
        <v>84</v>
      </c>
      <c r="E97" s="20">
        <f>308792.32+15353.48</f>
        <v>324145.8</v>
      </c>
      <c r="F97" s="46">
        <v>40603.79</v>
      </c>
      <c r="G97" s="52">
        <v>79931.08</v>
      </c>
      <c r="H97" s="20">
        <v>174348.46</v>
      </c>
      <c r="I97" s="52">
        <f>81976.59-91.43</f>
        <v>81885.16</v>
      </c>
      <c r="J97" s="52">
        <v>32843.52</v>
      </c>
      <c r="K97" s="52">
        <v>88497.57</v>
      </c>
      <c r="L97" s="52">
        <v>-16352.77</v>
      </c>
      <c r="M97" s="52">
        <v>22746.84</v>
      </c>
      <c r="N97" s="52">
        <v>63067.78</v>
      </c>
      <c r="O97" s="20">
        <v>256924.47</v>
      </c>
      <c r="P97" s="20">
        <f>433769.69+4292.04</f>
        <v>438061.73</v>
      </c>
      <c r="Q97" s="20">
        <v>34093.39</v>
      </c>
      <c r="R97" s="20">
        <v>264583.1</v>
      </c>
      <c r="S97" s="20">
        <v>49034.687</v>
      </c>
      <c r="T97" s="20">
        <v>34592.61</v>
      </c>
      <c r="U97" s="20">
        <v>57882.13</v>
      </c>
      <c r="V97" s="20">
        <v>128605.64</v>
      </c>
      <c r="W97" s="20">
        <v>73052.96</v>
      </c>
      <c r="X97" s="20">
        <f>95405.81-9209.69</f>
        <v>86196.12</v>
      </c>
      <c r="Y97" s="20">
        <v>148043.64</v>
      </c>
      <c r="Z97" s="20">
        <v>110962.04</v>
      </c>
      <c r="AA97" s="77">
        <v>33649.77</v>
      </c>
      <c r="AB97" s="72">
        <f>SUM(E97:AA97)</f>
        <v>2607399.517</v>
      </c>
    </row>
    <row r="98" spans="1:28" s="4" customFormat="1" ht="14.25" customHeight="1">
      <c r="A98" s="143"/>
      <c r="B98" s="131"/>
      <c r="C98" s="126"/>
      <c r="D98" s="9" t="s">
        <v>1</v>
      </c>
      <c r="E98" s="21">
        <f>1079263.93-15353.48</f>
        <v>1063910.45</v>
      </c>
      <c r="F98" s="47">
        <v>637491.9</v>
      </c>
      <c r="G98" s="22">
        <v>678811.46</v>
      </c>
      <c r="H98" s="21">
        <v>671613.79</v>
      </c>
      <c r="I98" s="22">
        <f>529313.34+91.43</f>
        <v>529404.77</v>
      </c>
      <c r="J98" s="22">
        <v>171644.76</v>
      </c>
      <c r="K98" s="22">
        <v>164397.46</v>
      </c>
      <c r="L98" s="22">
        <v>758418.05</v>
      </c>
      <c r="M98" s="22">
        <v>164613.55</v>
      </c>
      <c r="N98" s="22">
        <v>217299.24</v>
      </c>
      <c r="O98" s="20">
        <v>1335382.94</v>
      </c>
      <c r="P98" s="21">
        <f>2454899.46-4292.04</f>
        <v>2450607.42</v>
      </c>
      <c r="Q98" s="21">
        <v>233647.68</v>
      </c>
      <c r="R98" s="21">
        <v>1330930.17</v>
      </c>
      <c r="S98" s="21">
        <v>292041.29</v>
      </c>
      <c r="T98" s="21">
        <v>293093.14</v>
      </c>
      <c r="U98" s="21">
        <v>244295.32</v>
      </c>
      <c r="V98" s="21">
        <v>619767.74</v>
      </c>
      <c r="W98" s="21">
        <v>625865</v>
      </c>
      <c r="X98" s="21">
        <f>621684.22+9209.69</f>
        <v>630893.9099999999</v>
      </c>
      <c r="Y98" s="21">
        <v>619456.01</v>
      </c>
      <c r="Z98" s="21">
        <v>683114.73</v>
      </c>
      <c r="AA98" s="67">
        <v>638808.64</v>
      </c>
      <c r="AB98" s="71">
        <f>SUM(E98:AA98)</f>
        <v>15055509.42</v>
      </c>
    </row>
    <row r="99" spans="1:28" s="4" customFormat="1" ht="12.75">
      <c r="A99" s="143"/>
      <c r="B99" s="131"/>
      <c r="C99" s="126"/>
      <c r="D99" s="9" t="s">
        <v>2</v>
      </c>
      <c r="E99" s="21">
        <v>1068275.26</v>
      </c>
      <c r="F99" s="47">
        <v>626728.01</v>
      </c>
      <c r="G99" s="22">
        <v>665559.57</v>
      </c>
      <c r="H99" s="21">
        <v>661240.73</v>
      </c>
      <c r="I99" s="22">
        <v>526722.82</v>
      </c>
      <c r="J99" s="22">
        <v>169844.62</v>
      </c>
      <c r="K99" s="22">
        <v>145258.76</v>
      </c>
      <c r="L99" s="22">
        <v>730649.09</v>
      </c>
      <c r="M99" s="22">
        <v>166740.9</v>
      </c>
      <c r="N99" s="22">
        <v>207408.36</v>
      </c>
      <c r="O99" s="21">
        <v>1304633.1</v>
      </c>
      <c r="P99" s="21">
        <v>2505961.31</v>
      </c>
      <c r="Q99" s="21">
        <v>187482.55</v>
      </c>
      <c r="R99" s="21">
        <v>1272784.68</v>
      </c>
      <c r="S99" s="21">
        <v>301543.87</v>
      </c>
      <c r="T99" s="21">
        <v>299803.67</v>
      </c>
      <c r="U99" s="21">
        <v>238163.85</v>
      </c>
      <c r="V99" s="21">
        <v>593656.89</v>
      </c>
      <c r="W99" s="21">
        <v>620697.42</v>
      </c>
      <c r="X99" s="21">
        <v>614880.03</v>
      </c>
      <c r="Y99" s="21">
        <v>620743.89</v>
      </c>
      <c r="Z99" s="21">
        <v>670530.37</v>
      </c>
      <c r="AA99" s="67">
        <v>626193</v>
      </c>
      <c r="AB99" s="72">
        <f>SUM(E99:AA99)</f>
        <v>14825502.75</v>
      </c>
    </row>
    <row r="100" spans="1:28" s="7" customFormat="1" ht="12.75">
      <c r="A100" s="143"/>
      <c r="B100" s="131"/>
      <c r="C100" s="126"/>
      <c r="D100" s="9" t="s">
        <v>4</v>
      </c>
      <c r="E100" s="34">
        <v>658683.4</v>
      </c>
      <c r="F100" s="34">
        <v>408573.72</v>
      </c>
      <c r="G100" s="34">
        <v>344388.1</v>
      </c>
      <c r="H100" s="34">
        <v>475554.54</v>
      </c>
      <c r="I100" s="34">
        <v>333860.85</v>
      </c>
      <c r="J100" s="34">
        <v>92024.06</v>
      </c>
      <c r="K100" s="34">
        <v>56778.66</v>
      </c>
      <c r="L100" s="34">
        <v>440045.92</v>
      </c>
      <c r="M100" s="34">
        <v>121398.07</v>
      </c>
      <c r="N100" s="34">
        <v>136608.49</v>
      </c>
      <c r="O100" s="34">
        <v>801539.66</v>
      </c>
      <c r="P100" s="34">
        <v>2049546</v>
      </c>
      <c r="Q100" s="34">
        <v>172570.22</v>
      </c>
      <c r="R100" s="34">
        <v>2338602.15</v>
      </c>
      <c r="S100" s="34">
        <v>138091.44</v>
      </c>
      <c r="T100" s="34">
        <v>188002.92</v>
      </c>
      <c r="U100" s="34">
        <v>218509.75</v>
      </c>
      <c r="V100" s="34">
        <v>1146325.46</v>
      </c>
      <c r="W100" s="34">
        <v>1027864.04</v>
      </c>
      <c r="X100" s="34">
        <v>623470.52</v>
      </c>
      <c r="Y100" s="34">
        <v>487508.18</v>
      </c>
      <c r="Z100" s="34">
        <v>599579.42</v>
      </c>
      <c r="AA100" s="85">
        <v>471111.64</v>
      </c>
      <c r="AB100" s="86">
        <f>SUM(E100:AA100)</f>
        <v>13330637.209999999</v>
      </c>
    </row>
    <row r="101" spans="1:28" s="4" customFormat="1" ht="12.75">
      <c r="A101" s="143"/>
      <c r="B101" s="131"/>
      <c r="C101" s="126"/>
      <c r="D101" s="9" t="s">
        <v>3</v>
      </c>
      <c r="E101" s="22">
        <f aca="true" t="shared" si="48" ref="E101:J101">E100+E97</f>
        <v>982829.2</v>
      </c>
      <c r="F101" s="22">
        <f t="shared" si="48"/>
        <v>449177.50999999995</v>
      </c>
      <c r="G101" s="22">
        <f t="shared" si="48"/>
        <v>424319.18</v>
      </c>
      <c r="H101" s="22">
        <f t="shared" si="48"/>
        <v>649903</v>
      </c>
      <c r="I101" s="22">
        <f t="shared" si="48"/>
        <v>415746.01</v>
      </c>
      <c r="J101" s="22">
        <f t="shared" si="48"/>
        <v>124867.57999999999</v>
      </c>
      <c r="K101" s="22">
        <f>K99</f>
        <v>145258.76</v>
      </c>
      <c r="L101" s="22">
        <f>L100</f>
        <v>440045.92</v>
      </c>
      <c r="M101" s="22">
        <f>M100+M97</f>
        <v>144144.91</v>
      </c>
      <c r="N101" s="22">
        <f>N100+N97</f>
        <v>199676.27</v>
      </c>
      <c r="O101" s="22">
        <f>O100+O97</f>
        <v>1058464.1300000001</v>
      </c>
      <c r="P101" s="22">
        <f>P100+P97</f>
        <v>2487607.73</v>
      </c>
      <c r="Q101" s="22">
        <f>Q99</f>
        <v>187482.55</v>
      </c>
      <c r="R101" s="22">
        <f>R99</f>
        <v>1272784.68</v>
      </c>
      <c r="S101" s="22">
        <f>S100+S97</f>
        <v>187126.127</v>
      </c>
      <c r="T101" s="22">
        <f>T100+T97</f>
        <v>222595.53000000003</v>
      </c>
      <c r="U101" s="22">
        <f aca="true" t="shared" si="49" ref="U101:Z101">U99</f>
        <v>238163.85</v>
      </c>
      <c r="V101" s="22">
        <f t="shared" si="49"/>
        <v>593656.89</v>
      </c>
      <c r="W101" s="22">
        <f t="shared" si="49"/>
        <v>620697.42</v>
      </c>
      <c r="X101" s="22">
        <f t="shared" si="49"/>
        <v>614880.03</v>
      </c>
      <c r="Y101" s="22">
        <f t="shared" si="49"/>
        <v>620743.89</v>
      </c>
      <c r="Z101" s="22">
        <f t="shared" si="49"/>
        <v>670530.37</v>
      </c>
      <c r="AA101" s="22">
        <f>AA100+AA97</f>
        <v>504761.41000000003</v>
      </c>
      <c r="AB101" s="71">
        <f>SUM(E101:AA101)</f>
        <v>13255462.946999999</v>
      </c>
    </row>
    <row r="102" spans="1:28" s="1" customFormat="1" ht="13.5" thickBot="1">
      <c r="A102" s="143"/>
      <c r="B102" s="131"/>
      <c r="C102" s="127"/>
      <c r="D102" s="13" t="s">
        <v>83</v>
      </c>
      <c r="E102" s="24">
        <f>E97+E98-E99</f>
        <v>319780.99</v>
      </c>
      <c r="F102" s="42">
        <f>F97+F98-F99</f>
        <v>51367.68000000005</v>
      </c>
      <c r="G102" s="30">
        <f>G97+G98-G99</f>
        <v>93182.96999999997</v>
      </c>
      <c r="H102" s="24">
        <f aca="true" t="shared" si="50" ref="H102:O102">H97+H98-H99</f>
        <v>184721.52000000002</v>
      </c>
      <c r="I102" s="24">
        <f t="shared" si="50"/>
        <v>84567.1100000001</v>
      </c>
      <c r="J102" s="24">
        <f t="shared" si="50"/>
        <v>34643.66</v>
      </c>
      <c r="K102" s="24">
        <f t="shared" si="50"/>
        <v>107636.26999999999</v>
      </c>
      <c r="L102" s="24">
        <f t="shared" si="50"/>
        <v>11416.19000000006</v>
      </c>
      <c r="M102" s="24">
        <f t="shared" si="50"/>
        <v>20619.48999999999</v>
      </c>
      <c r="N102" s="24">
        <f t="shared" si="50"/>
        <v>72958.66000000003</v>
      </c>
      <c r="O102" s="24">
        <f t="shared" si="50"/>
        <v>287674.3099999998</v>
      </c>
      <c r="P102" s="24">
        <f aca="true" t="shared" si="51" ref="P102:AA102">P97+P98-P99</f>
        <v>382707.83999999985</v>
      </c>
      <c r="Q102" s="24">
        <f t="shared" si="51"/>
        <v>80258.52000000002</v>
      </c>
      <c r="R102" s="24">
        <f t="shared" si="51"/>
        <v>322728.5900000001</v>
      </c>
      <c r="S102" s="24">
        <f t="shared" si="51"/>
        <v>39532.10699999996</v>
      </c>
      <c r="T102" s="24">
        <f t="shared" si="51"/>
        <v>27882.080000000016</v>
      </c>
      <c r="U102" s="24">
        <f t="shared" si="51"/>
        <v>64013.600000000006</v>
      </c>
      <c r="V102" s="24">
        <f t="shared" si="51"/>
        <v>154716.49</v>
      </c>
      <c r="W102" s="24">
        <f t="shared" si="51"/>
        <v>78220.53999999992</v>
      </c>
      <c r="X102" s="24">
        <f t="shared" si="51"/>
        <v>102209.99999999988</v>
      </c>
      <c r="Y102" s="24">
        <f t="shared" si="51"/>
        <v>146755.76</v>
      </c>
      <c r="Z102" s="24">
        <f t="shared" si="51"/>
        <v>123546.40000000002</v>
      </c>
      <c r="AA102" s="76">
        <f t="shared" si="51"/>
        <v>46265.41000000003</v>
      </c>
      <c r="AB102" s="73">
        <f aca="true" t="shared" si="52" ref="AB102:AB114">SUM(E102:AA102)</f>
        <v>2837406.1870000004</v>
      </c>
    </row>
    <row r="103" spans="1:28" s="4" customFormat="1" ht="12.75">
      <c r="A103" s="143">
        <v>17</v>
      </c>
      <c r="B103" s="131"/>
      <c r="C103" s="129" t="s">
        <v>17</v>
      </c>
      <c r="D103" s="14" t="s">
        <v>84</v>
      </c>
      <c r="E103" s="25">
        <v>52750.67</v>
      </c>
      <c r="F103" s="48">
        <v>8406.46</v>
      </c>
      <c r="G103" s="28">
        <v>16574.3</v>
      </c>
      <c r="H103" s="25">
        <v>39114.08</v>
      </c>
      <c r="I103" s="28">
        <f>16945.86-32.33</f>
        <v>16913.53</v>
      </c>
      <c r="J103" s="28">
        <v>6802.37</v>
      </c>
      <c r="K103" s="28">
        <v>20442.39</v>
      </c>
      <c r="L103" s="28">
        <v>19133.25</v>
      </c>
      <c r="M103" s="28">
        <v>4712.88</v>
      </c>
      <c r="N103" s="28">
        <v>13023.71</v>
      </c>
      <c r="O103" s="25">
        <v>55146.84</v>
      </c>
      <c r="P103" s="25">
        <f>94549.43+1527.53</f>
        <v>96076.95999999999</v>
      </c>
      <c r="Q103" s="25">
        <v>7043.29</v>
      </c>
      <c r="R103" s="25">
        <v>58829.13</v>
      </c>
      <c r="S103" s="25">
        <v>10120.14</v>
      </c>
      <c r="T103" s="25">
        <v>7157.13</v>
      </c>
      <c r="U103" s="25">
        <v>12214.9</v>
      </c>
      <c r="V103" s="25">
        <v>27056.24</v>
      </c>
      <c r="W103" s="25">
        <v>11136.15</v>
      </c>
      <c r="X103" s="25">
        <f>19729.9+1480.49</f>
        <v>21210.390000000003</v>
      </c>
      <c r="Y103" s="25">
        <v>29984.4</v>
      </c>
      <c r="Z103" s="25">
        <v>22956.25</v>
      </c>
      <c r="AA103" s="66">
        <v>6911.49</v>
      </c>
      <c r="AB103" s="70">
        <f t="shared" si="52"/>
        <v>563716.95</v>
      </c>
    </row>
    <row r="104" spans="1:28" s="4" customFormat="1" ht="12.75">
      <c r="A104" s="143"/>
      <c r="B104" s="131"/>
      <c r="C104" s="126"/>
      <c r="D104" s="9" t="s">
        <v>1</v>
      </c>
      <c r="E104" s="21">
        <v>222859.72</v>
      </c>
      <c r="F104" s="47">
        <v>131554.87</v>
      </c>
      <c r="G104" s="27">
        <v>140081.93</v>
      </c>
      <c r="H104" s="21">
        <v>138660.27</v>
      </c>
      <c r="I104" s="27">
        <f>109231.01+32.33</f>
        <v>109263.34</v>
      </c>
      <c r="J104" s="27">
        <v>35420.88</v>
      </c>
      <c r="K104" s="27">
        <v>33925.6</v>
      </c>
      <c r="L104" s="27">
        <v>157164.51</v>
      </c>
      <c r="M104" s="27">
        <v>33970.06</v>
      </c>
      <c r="N104" s="27">
        <v>44842.81</v>
      </c>
      <c r="O104" s="21">
        <v>282958.78</v>
      </c>
      <c r="P104" s="21">
        <f>520009.67-1527.53</f>
        <v>518482.13999999996</v>
      </c>
      <c r="Q104" s="21">
        <v>48216.16</v>
      </c>
      <c r="R104" s="21">
        <v>282015.82</v>
      </c>
      <c r="S104" s="21">
        <v>60266.54</v>
      </c>
      <c r="T104" s="21">
        <v>60483.31</v>
      </c>
      <c r="U104" s="21">
        <v>50413.31</v>
      </c>
      <c r="V104" s="21">
        <v>127896.54</v>
      </c>
      <c r="W104" s="21">
        <v>129155.07</v>
      </c>
      <c r="X104" s="21">
        <f>128293.12-1480.49</f>
        <v>126812.62999999999</v>
      </c>
      <c r="Y104" s="21">
        <v>125462.11</v>
      </c>
      <c r="Z104" s="21">
        <v>140969.07</v>
      </c>
      <c r="AA104" s="67">
        <v>131826.89</v>
      </c>
      <c r="AB104" s="71">
        <f t="shared" si="52"/>
        <v>3132702.3599999994</v>
      </c>
    </row>
    <row r="105" spans="1:28" s="4" customFormat="1" ht="12.75">
      <c r="A105" s="143"/>
      <c r="B105" s="131"/>
      <c r="C105" s="126"/>
      <c r="D105" s="9" t="s">
        <v>2</v>
      </c>
      <c r="E105" s="21">
        <v>222974.59</v>
      </c>
      <c r="F105" s="21">
        <v>129358.95</v>
      </c>
      <c r="G105" s="21">
        <v>137399.63</v>
      </c>
      <c r="H105" s="21">
        <v>136507.35</v>
      </c>
      <c r="I105" s="21">
        <v>108732.24</v>
      </c>
      <c r="J105" s="21">
        <v>35074.1</v>
      </c>
      <c r="K105" s="21">
        <v>29975.87</v>
      </c>
      <c r="L105" s="21">
        <v>154656.61</v>
      </c>
      <c r="M105" s="21">
        <v>34427.26</v>
      </c>
      <c r="N105" s="21">
        <v>42823.37</v>
      </c>
      <c r="O105" s="21">
        <v>276540.83</v>
      </c>
      <c r="P105" s="21">
        <v>533231.96</v>
      </c>
      <c r="Q105" s="21">
        <v>38682.25</v>
      </c>
      <c r="R105" s="21">
        <v>270047.18</v>
      </c>
      <c r="S105" s="21">
        <v>62225.98</v>
      </c>
      <c r="T105" s="21">
        <v>61885.69</v>
      </c>
      <c r="U105" s="21">
        <v>49415.21</v>
      </c>
      <c r="V105" s="21">
        <v>122540.65</v>
      </c>
      <c r="W105" s="21">
        <v>126591.77</v>
      </c>
      <c r="X105" s="21">
        <v>126929.45</v>
      </c>
      <c r="Y105" s="21">
        <v>125766.28</v>
      </c>
      <c r="Z105" s="21">
        <v>138436.22</v>
      </c>
      <c r="AA105" s="67">
        <v>129219.91</v>
      </c>
      <c r="AB105" s="72">
        <f t="shared" si="52"/>
        <v>3093443.35</v>
      </c>
    </row>
    <row r="106" spans="1:28" s="4" customFormat="1" ht="12.75">
      <c r="A106" s="143"/>
      <c r="B106" s="131"/>
      <c r="C106" s="126"/>
      <c r="D106" s="9" t="s">
        <v>4</v>
      </c>
      <c r="E106" s="21">
        <f>+E104</f>
        <v>222859.72</v>
      </c>
      <c r="F106" s="21">
        <f aca="true" t="shared" si="53" ref="F106:Q106">+F104</f>
        <v>131554.87</v>
      </c>
      <c r="G106" s="21">
        <f t="shared" si="53"/>
        <v>140081.93</v>
      </c>
      <c r="H106" s="21">
        <f t="shared" si="53"/>
        <v>138660.27</v>
      </c>
      <c r="I106" s="21">
        <f t="shared" si="53"/>
        <v>109263.34</v>
      </c>
      <c r="J106" s="21">
        <f t="shared" si="53"/>
        <v>35420.88</v>
      </c>
      <c r="K106" s="21">
        <f t="shared" si="53"/>
        <v>33925.6</v>
      </c>
      <c r="L106" s="21">
        <f t="shared" si="53"/>
        <v>157164.51</v>
      </c>
      <c r="M106" s="21">
        <f t="shared" si="53"/>
        <v>33970.06</v>
      </c>
      <c r="N106" s="21">
        <f t="shared" si="53"/>
        <v>44842.81</v>
      </c>
      <c r="O106" s="21">
        <f t="shared" si="53"/>
        <v>282958.78</v>
      </c>
      <c r="P106" s="21">
        <f t="shared" si="53"/>
        <v>518482.13999999996</v>
      </c>
      <c r="Q106" s="21">
        <f t="shared" si="53"/>
        <v>48216.16</v>
      </c>
      <c r="R106" s="21">
        <f>+R104</f>
        <v>282015.82</v>
      </c>
      <c r="S106" s="21">
        <f aca="true" t="shared" si="54" ref="S106:AA106">+S104</f>
        <v>60266.54</v>
      </c>
      <c r="T106" s="21">
        <f t="shared" si="54"/>
        <v>60483.31</v>
      </c>
      <c r="U106" s="21">
        <f t="shared" si="54"/>
        <v>50413.31</v>
      </c>
      <c r="V106" s="21">
        <f t="shared" si="54"/>
        <v>127896.54</v>
      </c>
      <c r="W106" s="21">
        <f t="shared" si="54"/>
        <v>129155.07</v>
      </c>
      <c r="X106" s="21">
        <f t="shared" si="54"/>
        <v>126812.62999999999</v>
      </c>
      <c r="Y106" s="21">
        <f t="shared" si="54"/>
        <v>125462.11</v>
      </c>
      <c r="Z106" s="21">
        <f t="shared" si="54"/>
        <v>140969.07</v>
      </c>
      <c r="AA106" s="67">
        <f t="shared" si="54"/>
        <v>131826.89</v>
      </c>
      <c r="AB106" s="71">
        <f t="shared" si="52"/>
        <v>3132702.3599999994</v>
      </c>
    </row>
    <row r="107" spans="1:28" s="4" customFormat="1" ht="12.75">
      <c r="A107" s="143"/>
      <c r="B107" s="131"/>
      <c r="C107" s="126"/>
      <c r="D107" s="9" t="s">
        <v>3</v>
      </c>
      <c r="E107" s="22">
        <f aca="true" t="shared" si="55" ref="E107:Z107">+E105</f>
        <v>222974.59</v>
      </c>
      <c r="F107" s="22">
        <f>F106+F103</f>
        <v>139961.33</v>
      </c>
      <c r="G107" s="22">
        <f>G106+G103</f>
        <v>156656.22999999998</v>
      </c>
      <c r="H107" s="22">
        <f t="shared" si="55"/>
        <v>136507.35</v>
      </c>
      <c r="I107" s="22">
        <v>119613.5</v>
      </c>
      <c r="J107" s="22">
        <f>J106+J103</f>
        <v>42223.25</v>
      </c>
      <c r="K107" s="22">
        <f t="shared" si="55"/>
        <v>29975.87</v>
      </c>
      <c r="L107" s="22">
        <f>L106+L103</f>
        <v>176297.76</v>
      </c>
      <c r="M107" s="22">
        <f t="shared" si="55"/>
        <v>34427.26</v>
      </c>
      <c r="N107" s="22">
        <f t="shared" si="55"/>
        <v>42823.37</v>
      </c>
      <c r="O107" s="22">
        <f t="shared" si="55"/>
        <v>276540.83</v>
      </c>
      <c r="P107" s="22">
        <f t="shared" si="55"/>
        <v>533231.96</v>
      </c>
      <c r="Q107" s="22">
        <f t="shared" si="55"/>
        <v>38682.25</v>
      </c>
      <c r="R107" s="22">
        <f t="shared" si="55"/>
        <v>270047.18</v>
      </c>
      <c r="S107" s="22">
        <f>S106+S103</f>
        <v>70386.68</v>
      </c>
      <c r="T107" s="22">
        <f>T106+T103</f>
        <v>67640.44</v>
      </c>
      <c r="U107" s="22">
        <f t="shared" si="55"/>
        <v>49415.21</v>
      </c>
      <c r="V107" s="22">
        <f t="shared" si="55"/>
        <v>122540.65</v>
      </c>
      <c r="W107" s="22">
        <f t="shared" si="55"/>
        <v>126591.77</v>
      </c>
      <c r="X107" s="22">
        <f t="shared" si="55"/>
        <v>126929.45</v>
      </c>
      <c r="Y107" s="22">
        <f t="shared" si="55"/>
        <v>125766.28</v>
      </c>
      <c r="Z107" s="22">
        <f t="shared" si="55"/>
        <v>138436.22</v>
      </c>
      <c r="AA107" s="22">
        <f>AA106+AA103</f>
        <v>138738.38</v>
      </c>
      <c r="AB107" s="80">
        <f t="shared" si="52"/>
        <v>3186407.81</v>
      </c>
    </row>
    <row r="108" spans="1:28" s="1" customFormat="1" ht="13.5" thickBot="1">
      <c r="A108" s="143"/>
      <c r="B108" s="131"/>
      <c r="C108" s="127"/>
      <c r="D108" s="13" t="s">
        <v>83</v>
      </c>
      <c r="E108" s="29">
        <f>E103+E104-E105</f>
        <v>52635.80000000002</v>
      </c>
      <c r="F108" s="41">
        <f aca="true" t="shared" si="56" ref="F108:AA108">F103+F104-F105</f>
        <v>10602.37999999999</v>
      </c>
      <c r="G108" s="29">
        <f t="shared" si="56"/>
        <v>19256.599999999977</v>
      </c>
      <c r="H108" s="29">
        <f t="shared" si="56"/>
        <v>41266.99999999997</v>
      </c>
      <c r="I108" s="29">
        <f t="shared" si="56"/>
        <v>17444.62999999999</v>
      </c>
      <c r="J108" s="29">
        <f t="shared" si="56"/>
        <v>7149.1500000000015</v>
      </c>
      <c r="K108" s="29">
        <f t="shared" si="56"/>
        <v>24392.12</v>
      </c>
      <c r="L108" s="29">
        <f t="shared" si="56"/>
        <v>21641.150000000023</v>
      </c>
      <c r="M108" s="29">
        <f t="shared" si="56"/>
        <v>4255.679999999993</v>
      </c>
      <c r="N108" s="29">
        <f t="shared" si="56"/>
        <v>15043.149999999994</v>
      </c>
      <c r="O108" s="29">
        <f t="shared" si="56"/>
        <v>61564.78999999998</v>
      </c>
      <c r="P108" s="29">
        <f t="shared" si="56"/>
        <v>81327.14000000001</v>
      </c>
      <c r="Q108" s="29">
        <f t="shared" si="56"/>
        <v>16577.200000000004</v>
      </c>
      <c r="R108" s="29">
        <f t="shared" si="56"/>
        <v>70797.77000000002</v>
      </c>
      <c r="S108" s="29">
        <f t="shared" si="56"/>
        <v>8160.69999999999</v>
      </c>
      <c r="T108" s="29">
        <f t="shared" si="56"/>
        <v>5754.75</v>
      </c>
      <c r="U108" s="29">
        <f t="shared" si="56"/>
        <v>13213</v>
      </c>
      <c r="V108" s="29">
        <f t="shared" si="56"/>
        <v>32412.130000000005</v>
      </c>
      <c r="W108" s="29">
        <f t="shared" si="56"/>
        <v>13699.449999999997</v>
      </c>
      <c r="X108" s="29">
        <f t="shared" si="56"/>
        <v>21093.569999999992</v>
      </c>
      <c r="Y108" s="29">
        <f t="shared" si="56"/>
        <v>29680.23000000001</v>
      </c>
      <c r="Z108" s="29">
        <f t="shared" si="56"/>
        <v>25489.100000000006</v>
      </c>
      <c r="AA108" s="84">
        <f t="shared" si="56"/>
        <v>9518.470000000001</v>
      </c>
      <c r="AB108" s="83">
        <f t="shared" si="52"/>
        <v>602975.96</v>
      </c>
    </row>
    <row r="109" spans="1:28" s="4" customFormat="1" ht="12.75">
      <c r="A109" s="143">
        <v>18</v>
      </c>
      <c r="B109" s="131"/>
      <c r="C109" s="125" t="s">
        <v>18</v>
      </c>
      <c r="D109" s="14" t="s">
        <v>84</v>
      </c>
      <c r="E109" s="20">
        <v>59140.28</v>
      </c>
      <c r="F109" s="20">
        <v>9737.16</v>
      </c>
      <c r="G109" s="20">
        <f>13023.08-3744.73</f>
        <v>9278.35</v>
      </c>
      <c r="H109" s="20">
        <v>42287.48</v>
      </c>
      <c r="I109" s="20">
        <f>19818.83-28.07</f>
        <v>19790.760000000002</v>
      </c>
      <c r="J109" s="20">
        <v>7877.83</v>
      </c>
      <c r="K109" s="20">
        <v>22497.16</v>
      </c>
      <c r="L109" s="20">
        <v>22156.15</v>
      </c>
      <c r="M109" s="20">
        <v>5463.19</v>
      </c>
      <c r="N109" s="20">
        <v>15295.19</v>
      </c>
      <c r="O109" s="20">
        <v>67420.98</v>
      </c>
      <c r="P109" s="20">
        <f>116586.3+894.17</f>
        <v>117480.47</v>
      </c>
      <c r="Q109" s="20">
        <v>8156.85</v>
      </c>
      <c r="R109" s="20">
        <v>70196.23</v>
      </c>
      <c r="S109" s="20">
        <v>11721.65</v>
      </c>
      <c r="T109" s="20">
        <v>8288.7</v>
      </c>
      <c r="U109" s="20">
        <v>11228.21</v>
      </c>
      <c r="V109" s="20">
        <v>31246.31</v>
      </c>
      <c r="W109" s="20">
        <v>17571.43</v>
      </c>
      <c r="X109" s="20">
        <f>23081.51+1772.54</f>
        <v>24854.05</v>
      </c>
      <c r="Y109" s="20">
        <v>35084.28</v>
      </c>
      <c r="Z109" s="20">
        <f>25044.77-264.19</f>
        <v>24780.58</v>
      </c>
      <c r="AA109" s="77">
        <v>8007.35</v>
      </c>
      <c r="AB109" s="70">
        <f t="shared" si="52"/>
        <v>649560.6400000001</v>
      </c>
    </row>
    <row r="110" spans="1:28" s="4" customFormat="1" ht="12.75">
      <c r="A110" s="143"/>
      <c r="B110" s="131"/>
      <c r="C110" s="126"/>
      <c r="D110" s="9" t="s">
        <v>1</v>
      </c>
      <c r="E110" s="21">
        <v>275771.6</v>
      </c>
      <c r="F110" s="21">
        <v>152353.85</v>
      </c>
      <c r="G110" s="21">
        <f>119597.38+3744.73</f>
        <v>123342.11</v>
      </c>
      <c r="H110" s="21">
        <v>160582.64</v>
      </c>
      <c r="I110" s="21">
        <f>126500.62+28.07</f>
        <v>126528.69</v>
      </c>
      <c r="J110" s="21">
        <v>41021.04</v>
      </c>
      <c r="K110" s="21">
        <v>39289.3</v>
      </c>
      <c r="L110" s="21">
        <v>182012.45</v>
      </c>
      <c r="M110" s="21">
        <v>39340.81</v>
      </c>
      <c r="N110" s="21">
        <v>51932.48</v>
      </c>
      <c r="O110" s="21">
        <v>347825.25</v>
      </c>
      <c r="P110" s="21">
        <f>638881.83-894.17</f>
        <v>637987.6599999999</v>
      </c>
      <c r="Q110" s="21">
        <v>55839.24</v>
      </c>
      <c r="R110" s="21">
        <v>346452.92</v>
      </c>
      <c r="S110" s="21">
        <v>69794.8</v>
      </c>
      <c r="T110" s="21">
        <v>70045.87</v>
      </c>
      <c r="U110" s="21">
        <v>39825.1</v>
      </c>
      <c r="V110" s="21">
        <v>148117.37</v>
      </c>
      <c r="W110" s="21">
        <v>149574.32</v>
      </c>
      <c r="X110" s="21">
        <f>148575.73-1772.54</f>
        <v>146803.19</v>
      </c>
      <c r="Y110" s="21">
        <v>145297.87</v>
      </c>
      <c r="Z110" s="21">
        <f>159997.11+264.19</f>
        <v>160261.3</v>
      </c>
      <c r="AA110" s="67">
        <v>152668.96</v>
      </c>
      <c r="AB110" s="71">
        <f t="shared" si="52"/>
        <v>3662668.82</v>
      </c>
    </row>
    <row r="111" spans="1:28" s="4" customFormat="1" ht="12.75">
      <c r="A111" s="143"/>
      <c r="B111" s="131"/>
      <c r="C111" s="126"/>
      <c r="D111" s="9" t="s">
        <v>2</v>
      </c>
      <c r="E111" s="21">
        <v>271616.76</v>
      </c>
      <c r="F111" s="21">
        <v>149812.32</v>
      </c>
      <c r="G111" s="21">
        <v>118235.49</v>
      </c>
      <c r="H111" s="21">
        <v>158080.35</v>
      </c>
      <c r="I111" s="21">
        <v>125928.73</v>
      </c>
      <c r="J111" s="21">
        <v>40619.41</v>
      </c>
      <c r="K111" s="21">
        <v>34718.46</v>
      </c>
      <c r="L111" s="21">
        <v>179107.13</v>
      </c>
      <c r="M111" s="21">
        <v>39874.83</v>
      </c>
      <c r="N111" s="21">
        <v>49594.98</v>
      </c>
      <c r="O111" s="21">
        <v>340010.25</v>
      </c>
      <c r="P111" s="21">
        <v>655211.81</v>
      </c>
      <c r="Q111" s="21">
        <v>44797.98</v>
      </c>
      <c r="R111" s="21">
        <v>331595.66</v>
      </c>
      <c r="S111" s="21">
        <v>72065.54</v>
      </c>
      <c r="T111" s="21">
        <v>71669.98</v>
      </c>
      <c r="U111" s="21">
        <v>37942.97</v>
      </c>
      <c r="V111" s="21">
        <v>141962.95</v>
      </c>
      <c r="W111" s="21">
        <v>148406.58</v>
      </c>
      <c r="X111" s="21">
        <v>147137.53</v>
      </c>
      <c r="Y111" s="21">
        <v>145683.18</v>
      </c>
      <c r="Z111" s="21">
        <v>157884.7</v>
      </c>
      <c r="AA111" s="67">
        <v>149652.55</v>
      </c>
      <c r="AB111" s="72">
        <f t="shared" si="52"/>
        <v>3611610.1400000006</v>
      </c>
    </row>
    <row r="112" spans="1:28" s="4" customFormat="1" ht="12.75">
      <c r="A112" s="143"/>
      <c r="B112" s="131"/>
      <c r="C112" s="126"/>
      <c r="D112" s="9" t="s">
        <v>4</v>
      </c>
      <c r="E112" s="21">
        <f>+E110</f>
        <v>275771.6</v>
      </c>
      <c r="F112" s="21">
        <f aca="true" t="shared" si="57" ref="F112:AA112">+F110</f>
        <v>152353.85</v>
      </c>
      <c r="G112" s="21">
        <f t="shared" si="57"/>
        <v>123342.11</v>
      </c>
      <c r="H112" s="21">
        <f t="shared" si="57"/>
        <v>160582.64</v>
      </c>
      <c r="I112" s="21">
        <f t="shared" si="57"/>
        <v>126528.69</v>
      </c>
      <c r="J112" s="21">
        <f t="shared" si="57"/>
        <v>41021.04</v>
      </c>
      <c r="K112" s="21">
        <f t="shared" si="57"/>
        <v>39289.3</v>
      </c>
      <c r="L112" s="21">
        <f t="shared" si="57"/>
        <v>182012.45</v>
      </c>
      <c r="M112" s="21">
        <f t="shared" si="57"/>
        <v>39340.81</v>
      </c>
      <c r="N112" s="21">
        <f t="shared" si="57"/>
        <v>51932.48</v>
      </c>
      <c r="O112" s="21">
        <f t="shared" si="57"/>
        <v>347825.25</v>
      </c>
      <c r="P112" s="21">
        <f t="shared" si="57"/>
        <v>637987.6599999999</v>
      </c>
      <c r="Q112" s="21">
        <f t="shared" si="57"/>
        <v>55839.24</v>
      </c>
      <c r="R112" s="21">
        <f t="shared" si="57"/>
        <v>346452.92</v>
      </c>
      <c r="S112" s="21">
        <f t="shared" si="57"/>
        <v>69794.8</v>
      </c>
      <c r="T112" s="21">
        <f t="shared" si="57"/>
        <v>70045.87</v>
      </c>
      <c r="U112" s="21">
        <f t="shared" si="57"/>
        <v>39825.1</v>
      </c>
      <c r="V112" s="21">
        <f t="shared" si="57"/>
        <v>148117.37</v>
      </c>
      <c r="W112" s="21">
        <f t="shared" si="57"/>
        <v>149574.32</v>
      </c>
      <c r="X112" s="21">
        <f t="shared" si="57"/>
        <v>146803.19</v>
      </c>
      <c r="Y112" s="21">
        <f t="shared" si="57"/>
        <v>145297.87</v>
      </c>
      <c r="Z112" s="21">
        <f t="shared" si="57"/>
        <v>160261.3</v>
      </c>
      <c r="AA112" s="67">
        <f t="shared" si="57"/>
        <v>152668.96</v>
      </c>
      <c r="AB112" s="71">
        <f t="shared" si="52"/>
        <v>3662668.82</v>
      </c>
    </row>
    <row r="113" spans="1:28" s="4" customFormat="1" ht="12.75">
      <c r="A113" s="143"/>
      <c r="B113" s="131"/>
      <c r="C113" s="126"/>
      <c r="D113" s="9" t="s">
        <v>3</v>
      </c>
      <c r="E113" s="22">
        <f>+E111</f>
        <v>271616.76</v>
      </c>
      <c r="F113" s="22">
        <f>F112+F109</f>
        <v>162091.01</v>
      </c>
      <c r="G113" s="22">
        <f>G112+G109</f>
        <v>132620.46</v>
      </c>
      <c r="H113" s="22">
        <f aca="true" t="shared" si="58" ref="H113:Z113">+H111</f>
        <v>158080.35</v>
      </c>
      <c r="I113" s="22">
        <f>I112+I109</f>
        <v>146319.45</v>
      </c>
      <c r="J113" s="22">
        <v>47504.86</v>
      </c>
      <c r="K113" s="22">
        <f t="shared" si="58"/>
        <v>34718.46</v>
      </c>
      <c r="L113" s="22">
        <f>L112+L109</f>
        <v>204168.6</v>
      </c>
      <c r="M113" s="22">
        <f t="shared" si="58"/>
        <v>39874.83</v>
      </c>
      <c r="N113" s="22">
        <f t="shared" si="58"/>
        <v>49594.98</v>
      </c>
      <c r="O113" s="22">
        <v>373406.92</v>
      </c>
      <c r="P113" s="22">
        <f t="shared" si="58"/>
        <v>655211.81</v>
      </c>
      <c r="Q113" s="22">
        <f t="shared" si="58"/>
        <v>44797.98</v>
      </c>
      <c r="R113" s="22">
        <f t="shared" si="58"/>
        <v>331595.66</v>
      </c>
      <c r="S113" s="22">
        <f>S112+S109</f>
        <v>81516.45</v>
      </c>
      <c r="T113" s="22">
        <f>T112+T109</f>
        <v>78334.56999999999</v>
      </c>
      <c r="U113" s="22">
        <f t="shared" si="58"/>
        <v>37942.97</v>
      </c>
      <c r="V113" s="22">
        <f t="shared" si="58"/>
        <v>141962.95</v>
      </c>
      <c r="W113" s="22">
        <f t="shared" si="58"/>
        <v>148406.58</v>
      </c>
      <c r="X113" s="22">
        <f t="shared" si="58"/>
        <v>147137.53</v>
      </c>
      <c r="Y113" s="22">
        <f t="shared" si="58"/>
        <v>145683.18</v>
      </c>
      <c r="Z113" s="22">
        <f t="shared" si="58"/>
        <v>157884.7</v>
      </c>
      <c r="AA113" s="22">
        <f>AA112+AA109</f>
        <v>160676.31</v>
      </c>
      <c r="AB113" s="80">
        <f t="shared" si="52"/>
        <v>3751147.370000001</v>
      </c>
    </row>
    <row r="114" spans="1:28" s="1" customFormat="1" ht="13.5" thickBot="1">
      <c r="A114" s="145"/>
      <c r="B114" s="146"/>
      <c r="C114" s="128"/>
      <c r="D114" s="13" t="s">
        <v>83</v>
      </c>
      <c r="E114" s="30">
        <f>E109+E110-E111</f>
        <v>63295.119999999995</v>
      </c>
      <c r="F114" s="42">
        <f aca="true" t="shared" si="59" ref="F114:AA114">F109+F110-F111</f>
        <v>12278.690000000002</v>
      </c>
      <c r="G114" s="42">
        <f t="shared" si="59"/>
        <v>14384.969999999987</v>
      </c>
      <c r="H114" s="30">
        <f t="shared" si="59"/>
        <v>44789.77000000002</v>
      </c>
      <c r="I114" s="30">
        <f t="shared" si="59"/>
        <v>20390.720000000016</v>
      </c>
      <c r="J114" s="30">
        <f t="shared" si="59"/>
        <v>8279.46</v>
      </c>
      <c r="K114" s="30">
        <f t="shared" si="59"/>
        <v>27068.000000000007</v>
      </c>
      <c r="L114" s="30">
        <f t="shared" si="59"/>
        <v>25061.47</v>
      </c>
      <c r="M114" s="30">
        <f t="shared" si="59"/>
        <v>4929.169999999998</v>
      </c>
      <c r="N114" s="30">
        <f t="shared" si="59"/>
        <v>17632.689999999995</v>
      </c>
      <c r="O114" s="30">
        <f t="shared" si="59"/>
        <v>75235.97999999998</v>
      </c>
      <c r="P114" s="30">
        <f t="shared" si="59"/>
        <v>100256.31999999983</v>
      </c>
      <c r="Q114" s="30">
        <f t="shared" si="59"/>
        <v>19198.109999999993</v>
      </c>
      <c r="R114" s="30">
        <f t="shared" si="59"/>
        <v>85053.48999999999</v>
      </c>
      <c r="S114" s="30">
        <f t="shared" si="59"/>
        <v>9450.910000000003</v>
      </c>
      <c r="T114" s="30">
        <f t="shared" si="59"/>
        <v>6664.5899999999965</v>
      </c>
      <c r="U114" s="30">
        <f t="shared" si="59"/>
        <v>13110.339999999997</v>
      </c>
      <c r="V114" s="30">
        <f t="shared" si="59"/>
        <v>37400.72999999998</v>
      </c>
      <c r="W114" s="30">
        <f t="shared" si="59"/>
        <v>18739.170000000013</v>
      </c>
      <c r="X114" s="30">
        <f t="shared" si="59"/>
        <v>24519.709999999992</v>
      </c>
      <c r="Y114" s="30">
        <f t="shared" si="59"/>
        <v>34698.97</v>
      </c>
      <c r="Z114" s="30">
        <f t="shared" si="59"/>
        <v>27157.179999999993</v>
      </c>
      <c r="AA114" s="78">
        <f t="shared" si="59"/>
        <v>11023.76000000001</v>
      </c>
      <c r="AB114" s="83">
        <f t="shared" si="52"/>
        <v>700619.3199999996</v>
      </c>
    </row>
    <row r="115" spans="1:28" s="1" customFormat="1" ht="13.5" customHeight="1">
      <c r="A115" s="147" t="s">
        <v>43</v>
      </c>
      <c r="B115" s="148"/>
      <c r="C115" s="128" t="s">
        <v>49</v>
      </c>
      <c r="D115" s="14" t="s">
        <v>84</v>
      </c>
      <c r="E115" s="28">
        <f>1603.33+3514.63</f>
        <v>5117.96</v>
      </c>
      <c r="F115" s="25">
        <f>-7.69+533.31</f>
        <v>525.6199999999999</v>
      </c>
      <c r="G115" s="25">
        <f>-188.81+1058.65</f>
        <v>869.8400000000001</v>
      </c>
      <c r="H115" s="25">
        <f>289.54+2045.4</f>
        <v>2334.94</v>
      </c>
      <c r="I115" s="25">
        <f>318.73+1156.39</f>
        <v>1475.1200000000001</v>
      </c>
      <c r="J115" s="25">
        <v>430.09</v>
      </c>
      <c r="K115" s="25">
        <f>246.45+1038.32</f>
        <v>1284.77</v>
      </c>
      <c r="L115" s="25">
        <f>-1.66+1223.39</f>
        <v>1221.73</v>
      </c>
      <c r="M115" s="25">
        <f>0.79+301.03</f>
        <v>301.82</v>
      </c>
      <c r="N115" s="25">
        <f>76.41+940.64</f>
        <v>1017.05</v>
      </c>
      <c r="O115" s="25">
        <f>326.04+3014</f>
        <v>3340.04</v>
      </c>
      <c r="P115" s="25">
        <f>-130.17+5571.1</f>
        <v>5440.93</v>
      </c>
      <c r="Q115" s="25">
        <f>-119.588+445.4</f>
        <v>325.812</v>
      </c>
      <c r="R115" s="25">
        <f>386.93+3406</f>
        <v>3792.93</v>
      </c>
      <c r="S115" s="25">
        <f>62.96+644.36</f>
        <v>707.32</v>
      </c>
      <c r="T115" s="25">
        <f>-152.81+452.72</f>
        <v>299.91</v>
      </c>
      <c r="U115" s="25">
        <f>-162.83+819.82</f>
        <v>656.99</v>
      </c>
      <c r="V115" s="25">
        <f>246.33+1882.48</f>
        <v>2128.81</v>
      </c>
      <c r="W115" s="25">
        <f>977.47-97.47</f>
        <v>880</v>
      </c>
      <c r="X115" s="25">
        <f>381.03+1330.12</f>
        <v>1711.1499999999999</v>
      </c>
      <c r="Y115" s="25">
        <f>-50.13+2180.8</f>
        <v>2130.67</v>
      </c>
      <c r="Z115" s="25">
        <f>16.37+1591.27</f>
        <v>1607.6399999999999</v>
      </c>
      <c r="AA115" s="66">
        <f>-268.84+438.79</f>
        <v>169.95000000000005</v>
      </c>
      <c r="AB115" s="79">
        <f aca="true" t="shared" si="60" ref="AB115:AB156">SUM(E115:AA115)</f>
        <v>37771.092</v>
      </c>
    </row>
    <row r="116" spans="1:28" s="1" customFormat="1" ht="12.75">
      <c r="A116" s="149"/>
      <c r="B116" s="150"/>
      <c r="C116" s="144"/>
      <c r="D116" s="9" t="s">
        <v>1</v>
      </c>
      <c r="E116" s="21">
        <f>-1603.06+14460.74</f>
        <v>12857.68</v>
      </c>
      <c r="F116" s="21">
        <f>7.81+8319.38</f>
        <v>8327.189999999999</v>
      </c>
      <c r="G116" s="21">
        <f>194.56+8858.64</f>
        <v>9053.199999999999</v>
      </c>
      <c r="H116" s="21">
        <f>-287.94+8768.95</f>
        <v>8481.01</v>
      </c>
      <c r="I116" s="21">
        <f>-318.73+6907.47</f>
        <v>6588.74</v>
      </c>
      <c r="J116" s="21">
        <v>2239.92</v>
      </c>
      <c r="K116" s="21">
        <f>-246.45+2145.29</f>
        <v>1898.84</v>
      </c>
      <c r="L116" s="21">
        <f>23.86+9938.7</f>
        <v>9962.560000000001</v>
      </c>
      <c r="M116" s="21">
        <f>-0.19+2148.06</f>
        <v>2147.87</v>
      </c>
      <c r="N116" s="21">
        <f>2835.39-76.41</f>
        <v>2758.98</v>
      </c>
      <c r="O116" s="21">
        <f>-313.14+17894.54</f>
        <v>17581.4</v>
      </c>
      <c r="P116" s="21">
        <f>456.51+33038.62</f>
        <v>33495.130000000005</v>
      </c>
      <c r="Q116" s="21">
        <f>119.58+3049.16</f>
        <v>3168.74</v>
      </c>
      <c r="R116" s="21">
        <f>-361.67+17834.69</f>
        <v>17473.02</v>
      </c>
      <c r="S116" s="21">
        <f>-15.87+3811.19</f>
        <v>3795.32</v>
      </c>
      <c r="T116" s="21">
        <f>152.81+3825.34</f>
        <v>3978.15</v>
      </c>
      <c r="U116" s="21">
        <f>163.87+3188.43</f>
        <v>3352.2999999999997</v>
      </c>
      <c r="V116" s="21">
        <f>-246.32+8087.45</f>
        <v>7841.13</v>
      </c>
      <c r="W116" s="21">
        <f>97.47+8168.1</f>
        <v>8265.57</v>
      </c>
      <c r="X116" s="21">
        <f>-160.42+8113.3</f>
        <v>7952.88</v>
      </c>
      <c r="Y116" s="21">
        <f>51.85+8083.67</f>
        <v>8135.52</v>
      </c>
      <c r="Z116" s="21">
        <f>-16.37+8914.83</f>
        <v>8898.46</v>
      </c>
      <c r="AA116" s="67">
        <f>268.84+8336.2</f>
        <v>8605.04</v>
      </c>
      <c r="AB116" s="80">
        <f t="shared" si="60"/>
        <v>196858.65000000002</v>
      </c>
    </row>
    <row r="117" spans="1:28" s="1" customFormat="1" ht="12.75">
      <c r="A117" s="149"/>
      <c r="B117" s="150"/>
      <c r="C117" s="144"/>
      <c r="D117" s="9" t="s">
        <v>2</v>
      </c>
      <c r="E117" s="21">
        <f>0.27+14317.77</f>
        <v>14318.04</v>
      </c>
      <c r="F117" s="21">
        <f>0.12+8182.09</f>
        <v>8182.21</v>
      </c>
      <c r="G117" s="21">
        <f>5.75+8694.09</f>
        <v>8699.84</v>
      </c>
      <c r="H117" s="21">
        <f>1.6+8632.1</f>
        <v>8633.7</v>
      </c>
      <c r="I117" s="21">
        <v>6879.2</v>
      </c>
      <c r="J117" s="21">
        <v>2217.97</v>
      </c>
      <c r="K117" s="21">
        <v>1896.8</v>
      </c>
      <c r="L117" s="21">
        <f>22.2+9792.5</f>
        <v>9814.7</v>
      </c>
      <c r="M117" s="21">
        <f>0.6+2179.61</f>
        <v>2180.21</v>
      </c>
      <c r="N117" s="21">
        <v>2708.46</v>
      </c>
      <c r="O117" s="21">
        <f>12.94+17481.63</f>
        <v>17494.57</v>
      </c>
      <c r="P117" s="21">
        <f>326.34+33398.71</f>
        <v>33725.049999999996</v>
      </c>
      <c r="Q117" s="21">
        <v>2446.21</v>
      </c>
      <c r="R117" s="21">
        <f>25.26+17055.34</f>
        <v>17080.6</v>
      </c>
      <c r="S117" s="21">
        <f>47.09+3938.81</f>
        <v>3985.9</v>
      </c>
      <c r="T117" s="21">
        <v>3914.06</v>
      </c>
      <c r="U117" s="21">
        <f>1.04+3138</f>
        <v>3139.04</v>
      </c>
      <c r="V117" s="21">
        <f>0.01+7776.83</f>
        <v>7776.84</v>
      </c>
      <c r="W117" s="21">
        <v>8105.21</v>
      </c>
      <c r="X117" s="21">
        <f>220.61+8077.44</f>
        <v>8298.05</v>
      </c>
      <c r="Y117" s="21">
        <f>1.72+8124.33</f>
        <v>8126.05</v>
      </c>
      <c r="Z117" s="21">
        <v>8758.22</v>
      </c>
      <c r="AA117" s="67">
        <v>8172.96</v>
      </c>
      <c r="AB117" s="81">
        <f t="shared" si="60"/>
        <v>196553.88999999996</v>
      </c>
    </row>
    <row r="118" spans="1:28" s="1" customFormat="1" ht="12.75">
      <c r="A118" s="149"/>
      <c r="B118" s="150"/>
      <c r="C118" s="144"/>
      <c r="D118" s="9" t="s">
        <v>4</v>
      </c>
      <c r="E118" s="21">
        <f>+E116</f>
        <v>12857.68</v>
      </c>
      <c r="F118" s="21">
        <f aca="true" t="shared" si="61" ref="F118:AA118">+F116</f>
        <v>8327.189999999999</v>
      </c>
      <c r="G118" s="21">
        <f t="shared" si="61"/>
        <v>9053.199999999999</v>
      </c>
      <c r="H118" s="21">
        <f t="shared" si="61"/>
        <v>8481.01</v>
      </c>
      <c r="I118" s="21">
        <f t="shared" si="61"/>
        <v>6588.74</v>
      </c>
      <c r="J118" s="21">
        <f t="shared" si="61"/>
        <v>2239.92</v>
      </c>
      <c r="K118" s="21">
        <f t="shared" si="61"/>
        <v>1898.84</v>
      </c>
      <c r="L118" s="21">
        <f t="shared" si="61"/>
        <v>9962.560000000001</v>
      </c>
      <c r="M118" s="21">
        <f t="shared" si="61"/>
        <v>2147.87</v>
      </c>
      <c r="N118" s="21">
        <f t="shared" si="61"/>
        <v>2758.98</v>
      </c>
      <c r="O118" s="21">
        <f t="shared" si="61"/>
        <v>17581.4</v>
      </c>
      <c r="P118" s="21">
        <f t="shared" si="61"/>
        <v>33495.130000000005</v>
      </c>
      <c r="Q118" s="21">
        <f t="shared" si="61"/>
        <v>3168.74</v>
      </c>
      <c r="R118" s="21">
        <f t="shared" si="61"/>
        <v>17473.02</v>
      </c>
      <c r="S118" s="21">
        <f t="shared" si="61"/>
        <v>3795.32</v>
      </c>
      <c r="T118" s="21">
        <f t="shared" si="61"/>
        <v>3978.15</v>
      </c>
      <c r="U118" s="21">
        <f t="shared" si="61"/>
        <v>3352.2999999999997</v>
      </c>
      <c r="V118" s="21">
        <f t="shared" si="61"/>
        <v>7841.13</v>
      </c>
      <c r="W118" s="21">
        <f t="shared" si="61"/>
        <v>8265.57</v>
      </c>
      <c r="X118" s="21">
        <f t="shared" si="61"/>
        <v>7952.88</v>
      </c>
      <c r="Y118" s="21">
        <f t="shared" si="61"/>
        <v>8135.52</v>
      </c>
      <c r="Z118" s="21">
        <f t="shared" si="61"/>
        <v>8898.46</v>
      </c>
      <c r="AA118" s="67">
        <f t="shared" si="61"/>
        <v>8605.04</v>
      </c>
      <c r="AB118" s="80">
        <f t="shared" si="60"/>
        <v>196858.65000000002</v>
      </c>
    </row>
    <row r="119" spans="1:28" s="1" customFormat="1" ht="12.75">
      <c r="A119" s="149"/>
      <c r="B119" s="150"/>
      <c r="C119" s="144"/>
      <c r="D119" s="9" t="s">
        <v>3</v>
      </c>
      <c r="E119" s="22">
        <f>+E117</f>
        <v>14318.04</v>
      </c>
      <c r="F119" s="47">
        <f aca="true" t="shared" si="62" ref="F119:AA119">+F117</f>
        <v>8182.21</v>
      </c>
      <c r="G119" s="22">
        <f t="shared" si="62"/>
        <v>8699.84</v>
      </c>
      <c r="H119" s="22">
        <f t="shared" si="62"/>
        <v>8633.7</v>
      </c>
      <c r="I119" s="22">
        <f>I118+I115</f>
        <v>8063.86</v>
      </c>
      <c r="J119" s="22">
        <f t="shared" si="62"/>
        <v>2217.97</v>
      </c>
      <c r="K119" s="22">
        <f t="shared" si="62"/>
        <v>1896.8</v>
      </c>
      <c r="L119" s="22">
        <f>L118+L115</f>
        <v>11184.29</v>
      </c>
      <c r="M119" s="22">
        <f t="shared" si="62"/>
        <v>2180.21</v>
      </c>
      <c r="N119" s="22">
        <f t="shared" si="62"/>
        <v>2708.46</v>
      </c>
      <c r="O119" s="22">
        <f>O118+O115</f>
        <v>20921.440000000002</v>
      </c>
      <c r="P119" s="22">
        <f t="shared" si="62"/>
        <v>33725.049999999996</v>
      </c>
      <c r="Q119" s="22">
        <f t="shared" si="62"/>
        <v>2446.21</v>
      </c>
      <c r="R119" s="22">
        <f t="shared" si="62"/>
        <v>17080.6</v>
      </c>
      <c r="S119" s="22">
        <f t="shared" si="62"/>
        <v>3985.9</v>
      </c>
      <c r="T119" s="22">
        <f t="shared" si="62"/>
        <v>3914.06</v>
      </c>
      <c r="U119" s="22">
        <f t="shared" si="62"/>
        <v>3139.04</v>
      </c>
      <c r="V119" s="22">
        <f t="shared" si="62"/>
        <v>7776.84</v>
      </c>
      <c r="W119" s="22">
        <f t="shared" si="62"/>
        <v>8105.21</v>
      </c>
      <c r="X119" s="22">
        <f t="shared" si="62"/>
        <v>8298.05</v>
      </c>
      <c r="Y119" s="22">
        <f t="shared" si="62"/>
        <v>8126.05</v>
      </c>
      <c r="Z119" s="22">
        <f t="shared" si="62"/>
        <v>8758.22</v>
      </c>
      <c r="AA119" s="68">
        <f t="shared" si="62"/>
        <v>8172.96</v>
      </c>
      <c r="AB119" s="80">
        <f t="shared" si="60"/>
        <v>202535.00999999995</v>
      </c>
    </row>
    <row r="120" spans="1:28" s="1" customFormat="1" ht="13.5" thickBot="1">
      <c r="A120" s="149"/>
      <c r="B120" s="150"/>
      <c r="C120" s="125"/>
      <c r="D120" s="13" t="s">
        <v>83</v>
      </c>
      <c r="E120" s="29">
        <f>E115+E116-E117</f>
        <v>3657.5999999999985</v>
      </c>
      <c r="F120" s="41">
        <f aca="true" t="shared" si="63" ref="F120:AA120">F115+F116-F117</f>
        <v>670.5999999999976</v>
      </c>
      <c r="G120" s="29">
        <f t="shared" si="63"/>
        <v>1223.199999999999</v>
      </c>
      <c r="H120" s="29">
        <f>H115+H116-H117</f>
        <v>2182.25</v>
      </c>
      <c r="I120" s="29">
        <f>I115+I116-I117</f>
        <v>1184.6599999999999</v>
      </c>
      <c r="J120" s="29">
        <f t="shared" si="63"/>
        <v>452.0400000000004</v>
      </c>
      <c r="K120" s="29">
        <f>K115+K116-K117</f>
        <v>1286.8099999999997</v>
      </c>
      <c r="L120" s="29">
        <f t="shared" si="63"/>
        <v>1369.5900000000001</v>
      </c>
      <c r="M120" s="29">
        <f t="shared" si="63"/>
        <v>269.48</v>
      </c>
      <c r="N120" s="29">
        <f>N115+N116-N117</f>
        <v>1067.5699999999997</v>
      </c>
      <c r="O120" s="29">
        <f t="shared" si="63"/>
        <v>3426.8700000000026</v>
      </c>
      <c r="P120" s="29">
        <f t="shared" si="63"/>
        <v>5211.010000000009</v>
      </c>
      <c r="Q120" s="29">
        <f t="shared" si="63"/>
        <v>1048.3419999999996</v>
      </c>
      <c r="R120" s="29">
        <f t="shared" si="63"/>
        <v>4185.350000000002</v>
      </c>
      <c r="S120" s="29">
        <f t="shared" si="63"/>
        <v>516.7400000000002</v>
      </c>
      <c r="T120" s="29">
        <f>T115+T116-T117</f>
        <v>364.00000000000045</v>
      </c>
      <c r="U120" s="29">
        <f t="shared" si="63"/>
        <v>870.25</v>
      </c>
      <c r="V120" s="29">
        <f t="shared" si="63"/>
        <v>2193.1000000000004</v>
      </c>
      <c r="W120" s="29">
        <f t="shared" si="63"/>
        <v>1040.3599999999997</v>
      </c>
      <c r="X120" s="29">
        <f t="shared" si="63"/>
        <v>1365.9800000000014</v>
      </c>
      <c r="Y120" s="29">
        <f t="shared" si="63"/>
        <v>2140.1400000000003</v>
      </c>
      <c r="Z120" s="29">
        <f t="shared" si="63"/>
        <v>1747.8799999999992</v>
      </c>
      <c r="AA120" s="84">
        <f t="shared" si="63"/>
        <v>602.0300000000016</v>
      </c>
      <c r="AB120" s="83">
        <f t="shared" si="60"/>
        <v>38075.85200000001</v>
      </c>
    </row>
    <row r="121" spans="1:28" s="1" customFormat="1" ht="12.75">
      <c r="A121" s="149"/>
      <c r="B121" s="150"/>
      <c r="C121" s="125" t="s">
        <v>44</v>
      </c>
      <c r="D121" s="14" t="s">
        <v>84</v>
      </c>
      <c r="E121" s="26">
        <v>10281.22</v>
      </c>
      <c r="F121" s="20">
        <v>1566.19</v>
      </c>
      <c r="G121" s="20">
        <v>3106.42</v>
      </c>
      <c r="H121" s="26">
        <v>5950.01</v>
      </c>
      <c r="I121" s="20">
        <v>3368.88</v>
      </c>
      <c r="J121" s="20"/>
      <c r="K121" s="20"/>
      <c r="L121" s="20">
        <v>3587.06</v>
      </c>
      <c r="M121" s="20">
        <v>883.64</v>
      </c>
      <c r="N121" s="20">
        <v>2730.3</v>
      </c>
      <c r="O121" s="26">
        <v>8819.61</v>
      </c>
      <c r="P121" s="26">
        <v>16316.25</v>
      </c>
      <c r="Q121" s="26">
        <v>1308.4</v>
      </c>
      <c r="R121" s="26">
        <v>9964.57</v>
      </c>
      <c r="S121" s="26">
        <v>1891.26</v>
      </c>
      <c r="T121" s="26">
        <v>1329.62</v>
      </c>
      <c r="U121" s="26">
        <v>2395.57</v>
      </c>
      <c r="V121" s="26">
        <v>5467.56</v>
      </c>
      <c r="W121" s="26">
        <v>2866</v>
      </c>
      <c r="X121" s="26">
        <v>3874.98</v>
      </c>
      <c r="Y121" s="26">
        <v>6346.02</v>
      </c>
      <c r="Z121" s="26">
        <v>4639.86</v>
      </c>
      <c r="AA121" s="88">
        <v>1288.58</v>
      </c>
      <c r="AB121" s="79">
        <f t="shared" si="60"/>
        <v>97982</v>
      </c>
    </row>
    <row r="122" spans="1:28" s="1" customFormat="1" ht="12.75">
      <c r="A122" s="149"/>
      <c r="B122" s="150"/>
      <c r="C122" s="126"/>
      <c r="D122" s="9" t="s">
        <v>1</v>
      </c>
      <c r="E122" s="21">
        <v>42606.15</v>
      </c>
      <c r="F122" s="21">
        <v>24430.94</v>
      </c>
      <c r="G122" s="21">
        <v>25827.63</v>
      </c>
      <c r="H122" s="21">
        <v>26046.3</v>
      </c>
      <c r="I122" s="21">
        <v>20609.83</v>
      </c>
      <c r="J122" s="21"/>
      <c r="K122" s="21"/>
      <c r="L122" s="21">
        <v>29172.02</v>
      </c>
      <c r="M122" s="21">
        <v>6310.83</v>
      </c>
      <c r="N122" s="21">
        <v>8406.43</v>
      </c>
      <c r="O122" s="21">
        <v>52877.69</v>
      </c>
      <c r="P122" s="21">
        <v>96384.05</v>
      </c>
      <c r="Q122" s="21">
        <v>8837.46</v>
      </c>
      <c r="R122" s="21">
        <v>52750.35</v>
      </c>
      <c r="S122" s="21">
        <v>11211.34</v>
      </c>
      <c r="T122" s="21">
        <v>11083.29</v>
      </c>
      <c r="U122" s="21">
        <v>9201.5</v>
      </c>
      <c r="V122" s="21">
        <v>24006.29</v>
      </c>
      <c r="W122" s="21">
        <v>23896.13</v>
      </c>
      <c r="X122" s="21">
        <v>23992.32</v>
      </c>
      <c r="Y122" s="21">
        <v>23695</v>
      </c>
      <c r="Z122" s="21">
        <v>26204.41</v>
      </c>
      <c r="AA122" s="67">
        <v>24219.98</v>
      </c>
      <c r="AB122" s="80">
        <f t="shared" si="60"/>
        <v>571769.94</v>
      </c>
    </row>
    <row r="123" spans="1:28" s="1" customFormat="1" ht="12.75">
      <c r="A123" s="149"/>
      <c r="B123" s="150"/>
      <c r="C123" s="126"/>
      <c r="D123" s="9" t="s">
        <v>2</v>
      </c>
      <c r="E123" s="21">
        <v>41940.72</v>
      </c>
      <c r="F123" s="21">
        <v>24027.32</v>
      </c>
      <c r="G123" s="21">
        <v>25476.04</v>
      </c>
      <c r="H123" s="21">
        <v>25252.65</v>
      </c>
      <c r="I123" s="21">
        <v>20204.05</v>
      </c>
      <c r="J123" s="21"/>
      <c r="K123" s="21"/>
      <c r="L123" s="21">
        <v>28755.56</v>
      </c>
      <c r="M123" s="21">
        <v>6402.73</v>
      </c>
      <c r="N123" s="21">
        <v>7920.44</v>
      </c>
      <c r="O123" s="21">
        <v>51271.09</v>
      </c>
      <c r="P123" s="21">
        <v>97988.55</v>
      </c>
      <c r="Q123" s="21">
        <v>7066.4</v>
      </c>
      <c r="R123" s="21">
        <v>50057.9</v>
      </c>
      <c r="S123" s="21">
        <v>11573.03</v>
      </c>
      <c r="T123" s="21">
        <v>11476.8</v>
      </c>
      <c r="U123" s="21">
        <v>9174.07</v>
      </c>
      <c r="V123" s="21">
        <v>22834.53</v>
      </c>
      <c r="W123" s="21">
        <v>23758.74</v>
      </c>
      <c r="X123" s="21">
        <v>23714.93</v>
      </c>
      <c r="Y123" s="21">
        <v>23818.87</v>
      </c>
      <c r="Z123" s="21">
        <v>25727.08</v>
      </c>
      <c r="AA123" s="67">
        <v>23949.88</v>
      </c>
      <c r="AB123" s="81">
        <f t="shared" si="60"/>
        <v>562391.3800000001</v>
      </c>
    </row>
    <row r="124" spans="1:28" s="1" customFormat="1" ht="12.75">
      <c r="A124" s="149"/>
      <c r="B124" s="150"/>
      <c r="C124" s="126"/>
      <c r="D124" s="9" t="s">
        <v>4</v>
      </c>
      <c r="E124" s="21">
        <f>+E122</f>
        <v>42606.15</v>
      </c>
      <c r="F124" s="21">
        <f aca="true" t="shared" si="64" ref="F124:AA124">+F122</f>
        <v>24430.94</v>
      </c>
      <c r="G124" s="21">
        <f t="shared" si="64"/>
        <v>25827.63</v>
      </c>
      <c r="H124" s="21">
        <f t="shared" si="64"/>
        <v>26046.3</v>
      </c>
      <c r="I124" s="21">
        <f t="shared" si="64"/>
        <v>20609.83</v>
      </c>
      <c r="J124" s="21"/>
      <c r="K124" s="21"/>
      <c r="L124" s="21">
        <f t="shared" si="64"/>
        <v>29172.02</v>
      </c>
      <c r="M124" s="21">
        <f t="shared" si="64"/>
        <v>6310.83</v>
      </c>
      <c r="N124" s="21">
        <f t="shared" si="64"/>
        <v>8406.43</v>
      </c>
      <c r="O124" s="21">
        <f t="shared" si="64"/>
        <v>52877.69</v>
      </c>
      <c r="P124" s="21">
        <f t="shared" si="64"/>
        <v>96384.05</v>
      </c>
      <c r="Q124" s="21">
        <f t="shared" si="64"/>
        <v>8837.46</v>
      </c>
      <c r="R124" s="21">
        <f t="shared" si="64"/>
        <v>52750.35</v>
      </c>
      <c r="S124" s="21">
        <f t="shared" si="64"/>
        <v>11211.34</v>
      </c>
      <c r="T124" s="21">
        <f t="shared" si="64"/>
        <v>11083.29</v>
      </c>
      <c r="U124" s="21">
        <f t="shared" si="64"/>
        <v>9201.5</v>
      </c>
      <c r="V124" s="21">
        <f t="shared" si="64"/>
        <v>24006.29</v>
      </c>
      <c r="W124" s="21">
        <f t="shared" si="64"/>
        <v>23896.13</v>
      </c>
      <c r="X124" s="21">
        <f t="shared" si="64"/>
        <v>23992.32</v>
      </c>
      <c r="Y124" s="21">
        <f t="shared" si="64"/>
        <v>23695</v>
      </c>
      <c r="Z124" s="21">
        <f t="shared" si="64"/>
        <v>26204.41</v>
      </c>
      <c r="AA124" s="67">
        <f t="shared" si="64"/>
        <v>24219.98</v>
      </c>
      <c r="AB124" s="80">
        <f t="shared" si="60"/>
        <v>571769.94</v>
      </c>
    </row>
    <row r="125" spans="1:28" s="1" customFormat="1" ht="12.75">
      <c r="A125" s="149"/>
      <c r="B125" s="150"/>
      <c r="C125" s="126"/>
      <c r="D125" s="9" t="s">
        <v>3</v>
      </c>
      <c r="E125" s="22">
        <f>+E123</f>
        <v>41940.72</v>
      </c>
      <c r="F125" s="47">
        <f>F124+F121</f>
        <v>25997.129999999997</v>
      </c>
      <c r="G125" s="47">
        <f>G124+G121</f>
        <v>28934.050000000003</v>
      </c>
      <c r="H125" s="22">
        <f aca="true" t="shared" si="65" ref="H125:AA125">+H123</f>
        <v>25252.65</v>
      </c>
      <c r="I125" s="22">
        <f>I124+I121</f>
        <v>23978.710000000003</v>
      </c>
      <c r="J125" s="22"/>
      <c r="K125" s="22"/>
      <c r="L125" s="22">
        <f>L124+L121</f>
        <v>32759.08</v>
      </c>
      <c r="M125" s="22">
        <f t="shared" si="65"/>
        <v>6402.73</v>
      </c>
      <c r="N125" s="22">
        <f t="shared" si="65"/>
        <v>7920.44</v>
      </c>
      <c r="O125" s="22">
        <f>O124+O121</f>
        <v>61697.3</v>
      </c>
      <c r="P125" s="22">
        <f t="shared" si="65"/>
        <v>97988.55</v>
      </c>
      <c r="Q125" s="22">
        <f t="shared" si="65"/>
        <v>7066.4</v>
      </c>
      <c r="R125" s="22">
        <f t="shared" si="65"/>
        <v>50057.9</v>
      </c>
      <c r="S125" s="22">
        <f t="shared" si="65"/>
        <v>11573.03</v>
      </c>
      <c r="T125" s="22">
        <f>T124+T121</f>
        <v>12412.91</v>
      </c>
      <c r="U125" s="22">
        <f t="shared" si="65"/>
        <v>9174.07</v>
      </c>
      <c r="V125" s="22">
        <f t="shared" si="65"/>
        <v>22834.53</v>
      </c>
      <c r="W125" s="22">
        <f t="shared" si="65"/>
        <v>23758.74</v>
      </c>
      <c r="X125" s="22">
        <f t="shared" si="65"/>
        <v>23714.93</v>
      </c>
      <c r="Y125" s="22">
        <f t="shared" si="65"/>
        <v>23818.87</v>
      </c>
      <c r="Z125" s="22">
        <f t="shared" si="65"/>
        <v>25727.08</v>
      </c>
      <c r="AA125" s="68">
        <f t="shared" si="65"/>
        <v>23949.88</v>
      </c>
      <c r="AB125" s="80">
        <f t="shared" si="60"/>
        <v>586959.7000000001</v>
      </c>
    </row>
    <row r="126" spans="1:28" s="1" customFormat="1" ht="13.5" thickBot="1">
      <c r="A126" s="149"/>
      <c r="B126" s="150"/>
      <c r="C126" s="128"/>
      <c r="D126" s="13" t="s">
        <v>83</v>
      </c>
      <c r="E126" s="30">
        <f>+E121+E122-E123</f>
        <v>10946.650000000001</v>
      </c>
      <c r="F126" s="42">
        <f aca="true" t="shared" si="66" ref="F126:AA126">F121+F122-F123</f>
        <v>1969.8099999999977</v>
      </c>
      <c r="G126" s="30">
        <f t="shared" si="66"/>
        <v>3458.010000000002</v>
      </c>
      <c r="H126" s="30">
        <f t="shared" si="66"/>
        <v>6743.659999999996</v>
      </c>
      <c r="I126" s="30">
        <f t="shared" si="66"/>
        <v>3774.6600000000035</v>
      </c>
      <c r="J126" s="30"/>
      <c r="K126" s="30"/>
      <c r="L126" s="30">
        <f t="shared" si="66"/>
        <v>4003.5200000000004</v>
      </c>
      <c r="M126" s="30">
        <f t="shared" si="66"/>
        <v>791.7400000000007</v>
      </c>
      <c r="N126" s="30">
        <f t="shared" si="66"/>
        <v>3216.29</v>
      </c>
      <c r="O126" s="30">
        <f t="shared" si="66"/>
        <v>10426.210000000006</v>
      </c>
      <c r="P126" s="30">
        <f t="shared" si="66"/>
        <v>14711.75</v>
      </c>
      <c r="Q126" s="30">
        <f t="shared" si="66"/>
        <v>3079.459999999999</v>
      </c>
      <c r="R126" s="30">
        <f t="shared" si="66"/>
        <v>12657.019999999997</v>
      </c>
      <c r="S126" s="30">
        <f>S121+S122-S123</f>
        <v>1529.5699999999997</v>
      </c>
      <c r="T126" s="30">
        <f>T121+T122-T123</f>
        <v>936.1100000000006</v>
      </c>
      <c r="U126" s="30">
        <f t="shared" si="66"/>
        <v>2423</v>
      </c>
      <c r="V126" s="30">
        <f t="shared" si="66"/>
        <v>6639.320000000003</v>
      </c>
      <c r="W126" s="30">
        <f t="shared" si="66"/>
        <v>3003.3899999999994</v>
      </c>
      <c r="X126" s="30">
        <f t="shared" si="66"/>
        <v>4152.369999999999</v>
      </c>
      <c r="Y126" s="30">
        <f t="shared" si="66"/>
        <v>6222.1500000000015</v>
      </c>
      <c r="Z126" s="30">
        <f t="shared" si="66"/>
        <v>5117.189999999999</v>
      </c>
      <c r="AA126" s="78">
        <f t="shared" si="66"/>
        <v>1558.6799999999967</v>
      </c>
      <c r="AB126" s="83">
        <f t="shared" si="60"/>
        <v>107360.56</v>
      </c>
    </row>
    <row r="127" spans="1:28" s="1" customFormat="1" ht="12.75">
      <c r="A127" s="149"/>
      <c r="B127" s="150"/>
      <c r="C127" s="129" t="s">
        <v>45</v>
      </c>
      <c r="D127" s="14" t="s">
        <v>84</v>
      </c>
      <c r="E127" s="28">
        <v>3514.63</v>
      </c>
      <c r="F127" s="25">
        <v>533.3</v>
      </c>
      <c r="G127" s="25">
        <v>1058.65</v>
      </c>
      <c r="H127" s="28">
        <v>2045.4</v>
      </c>
      <c r="I127" s="25">
        <v>1156.39</v>
      </c>
      <c r="J127" s="25">
        <v>430.09</v>
      </c>
      <c r="K127" s="25">
        <v>1038.32</v>
      </c>
      <c r="L127" s="25">
        <v>1223.39</v>
      </c>
      <c r="M127" s="25">
        <v>301.03</v>
      </c>
      <c r="N127" s="25">
        <v>940.65</v>
      </c>
      <c r="O127" s="28">
        <v>3014.03</v>
      </c>
      <c r="P127" s="28">
        <v>5571.08</v>
      </c>
      <c r="Q127" s="28">
        <v>445.4</v>
      </c>
      <c r="R127" s="28">
        <v>3406.03</v>
      </c>
      <c r="S127" s="28">
        <v>644.36</v>
      </c>
      <c r="T127" s="28">
        <v>452.72</v>
      </c>
      <c r="U127" s="28">
        <v>819.82</v>
      </c>
      <c r="V127" s="28">
        <v>1882.47</v>
      </c>
      <c r="W127" s="28">
        <v>977.47</v>
      </c>
      <c r="X127" s="28">
        <v>1330.12</v>
      </c>
      <c r="Y127" s="28">
        <v>2180.81</v>
      </c>
      <c r="Z127" s="28">
        <v>1591.27</v>
      </c>
      <c r="AA127" s="87">
        <f>438.77</f>
        <v>438.77</v>
      </c>
      <c r="AB127" s="79">
        <f t="shared" si="60"/>
        <v>34996.2</v>
      </c>
    </row>
    <row r="128" spans="1:28" s="1" customFormat="1" ht="12.75">
      <c r="A128" s="149"/>
      <c r="B128" s="150"/>
      <c r="C128" s="126"/>
      <c r="D128" s="9" t="s">
        <v>1</v>
      </c>
      <c r="E128" s="21">
        <v>14460.74</v>
      </c>
      <c r="F128" s="21">
        <v>8319.38</v>
      </c>
      <c r="G128" s="21">
        <v>8858.64</v>
      </c>
      <c r="H128" s="21">
        <v>8768.95</v>
      </c>
      <c r="I128" s="21">
        <v>6907.47</v>
      </c>
      <c r="J128" s="21">
        <v>2239.92</v>
      </c>
      <c r="K128" s="21">
        <v>2145.29</v>
      </c>
      <c r="L128" s="21">
        <v>9938.7</v>
      </c>
      <c r="M128" s="21">
        <v>2148.06</v>
      </c>
      <c r="N128" s="21">
        <v>2835.39</v>
      </c>
      <c r="O128" s="21">
        <v>17894.54</v>
      </c>
      <c r="P128" s="21">
        <v>33038.62</v>
      </c>
      <c r="Q128" s="21">
        <v>3049.16</v>
      </c>
      <c r="R128" s="21">
        <v>17834.69</v>
      </c>
      <c r="S128" s="21">
        <v>3811.19</v>
      </c>
      <c r="T128" s="21">
        <v>3825.34</v>
      </c>
      <c r="U128" s="21">
        <v>3188.43</v>
      </c>
      <c r="V128" s="21">
        <v>8087.45</v>
      </c>
      <c r="W128" s="21">
        <v>8168.1</v>
      </c>
      <c r="X128" s="21">
        <v>8113.3</v>
      </c>
      <c r="Y128" s="21">
        <v>8083.67</v>
      </c>
      <c r="Z128" s="21">
        <v>8914.83</v>
      </c>
      <c r="AA128" s="67">
        <v>8336.2</v>
      </c>
      <c r="AB128" s="80">
        <f t="shared" si="60"/>
        <v>198968.06</v>
      </c>
    </row>
    <row r="129" spans="1:28" s="1" customFormat="1" ht="12.75">
      <c r="A129" s="149"/>
      <c r="B129" s="150"/>
      <c r="C129" s="126"/>
      <c r="D129" s="9" t="s">
        <v>2</v>
      </c>
      <c r="E129" s="21">
        <v>14317.79</v>
      </c>
      <c r="F129" s="21">
        <v>8182.09</v>
      </c>
      <c r="G129" s="21">
        <v>8694.09</v>
      </c>
      <c r="H129" s="21">
        <v>8632.1</v>
      </c>
      <c r="I129" s="21">
        <v>6879.2</v>
      </c>
      <c r="J129" s="21">
        <v>2217.97</v>
      </c>
      <c r="K129" s="21">
        <v>1896.8</v>
      </c>
      <c r="L129" s="21">
        <v>9792.51</v>
      </c>
      <c r="M129" s="21">
        <v>2179.62</v>
      </c>
      <c r="N129" s="21">
        <v>2708.39</v>
      </c>
      <c r="O129" s="21">
        <v>17481.68</v>
      </c>
      <c r="P129" s="21">
        <v>33398.75</v>
      </c>
      <c r="Q129" s="21">
        <v>2446.21</v>
      </c>
      <c r="R129" s="21">
        <v>17055.35</v>
      </c>
      <c r="S129" s="21">
        <v>3938.81</v>
      </c>
      <c r="T129" s="21">
        <v>3914.06</v>
      </c>
      <c r="U129" s="21">
        <v>3138</v>
      </c>
      <c r="V129" s="21">
        <v>7776.83</v>
      </c>
      <c r="W129" s="21">
        <v>8105.21</v>
      </c>
      <c r="X129" s="21">
        <v>8077.45</v>
      </c>
      <c r="Y129" s="21">
        <v>8124.34</v>
      </c>
      <c r="Z129" s="21">
        <v>8758.24</v>
      </c>
      <c r="AA129" s="67">
        <v>8172.97</v>
      </c>
      <c r="AB129" s="81">
        <f t="shared" si="60"/>
        <v>195888.46</v>
      </c>
    </row>
    <row r="130" spans="1:28" s="1" customFormat="1" ht="12.75">
      <c r="A130" s="149"/>
      <c r="B130" s="150"/>
      <c r="C130" s="126"/>
      <c r="D130" s="9" t="s">
        <v>4</v>
      </c>
      <c r="E130" s="21">
        <f>+E128</f>
        <v>14460.74</v>
      </c>
      <c r="F130" s="21">
        <f aca="true" t="shared" si="67" ref="F130:AA130">+F128</f>
        <v>8319.38</v>
      </c>
      <c r="G130" s="21">
        <f t="shared" si="67"/>
        <v>8858.64</v>
      </c>
      <c r="H130" s="21">
        <f t="shared" si="67"/>
        <v>8768.95</v>
      </c>
      <c r="I130" s="21">
        <f t="shared" si="67"/>
        <v>6907.47</v>
      </c>
      <c r="J130" s="21">
        <f t="shared" si="67"/>
        <v>2239.92</v>
      </c>
      <c r="K130" s="21">
        <f t="shared" si="67"/>
        <v>2145.29</v>
      </c>
      <c r="L130" s="21">
        <f t="shared" si="67"/>
        <v>9938.7</v>
      </c>
      <c r="M130" s="21">
        <f t="shared" si="67"/>
        <v>2148.06</v>
      </c>
      <c r="N130" s="21">
        <f t="shared" si="67"/>
        <v>2835.39</v>
      </c>
      <c r="O130" s="21">
        <f t="shared" si="67"/>
        <v>17894.54</v>
      </c>
      <c r="P130" s="21">
        <f t="shared" si="67"/>
        <v>33038.62</v>
      </c>
      <c r="Q130" s="21">
        <f t="shared" si="67"/>
        <v>3049.16</v>
      </c>
      <c r="R130" s="21">
        <f t="shared" si="67"/>
        <v>17834.69</v>
      </c>
      <c r="S130" s="21">
        <f t="shared" si="67"/>
        <v>3811.19</v>
      </c>
      <c r="T130" s="21">
        <f t="shared" si="67"/>
        <v>3825.34</v>
      </c>
      <c r="U130" s="21">
        <f t="shared" si="67"/>
        <v>3188.43</v>
      </c>
      <c r="V130" s="21">
        <f t="shared" si="67"/>
        <v>8087.45</v>
      </c>
      <c r="W130" s="21">
        <f t="shared" si="67"/>
        <v>8168.1</v>
      </c>
      <c r="X130" s="21">
        <f t="shared" si="67"/>
        <v>8113.3</v>
      </c>
      <c r="Y130" s="21">
        <f t="shared" si="67"/>
        <v>8083.67</v>
      </c>
      <c r="Z130" s="21">
        <f t="shared" si="67"/>
        <v>8914.83</v>
      </c>
      <c r="AA130" s="67">
        <f t="shared" si="67"/>
        <v>8336.2</v>
      </c>
      <c r="AB130" s="80">
        <f t="shared" si="60"/>
        <v>198968.06</v>
      </c>
    </row>
    <row r="131" spans="1:28" s="1" customFormat="1" ht="12.75">
      <c r="A131" s="149"/>
      <c r="B131" s="150"/>
      <c r="C131" s="126"/>
      <c r="D131" s="9" t="s">
        <v>3</v>
      </c>
      <c r="E131" s="22">
        <f>+E129</f>
        <v>14317.79</v>
      </c>
      <c r="F131" s="47">
        <f>F130+F127</f>
        <v>8852.679999999998</v>
      </c>
      <c r="G131" s="47">
        <f>G130+G127</f>
        <v>9917.289999999999</v>
      </c>
      <c r="H131" s="22">
        <f aca="true" t="shared" si="68" ref="H131:AA131">+H129</f>
        <v>8632.1</v>
      </c>
      <c r="I131" s="22">
        <f>I130+I127</f>
        <v>8063.860000000001</v>
      </c>
      <c r="J131" s="22">
        <f t="shared" si="68"/>
        <v>2217.97</v>
      </c>
      <c r="K131" s="22">
        <f t="shared" si="68"/>
        <v>1896.8</v>
      </c>
      <c r="L131" s="22">
        <f>L130+L127</f>
        <v>11162.09</v>
      </c>
      <c r="M131" s="22">
        <f t="shared" si="68"/>
        <v>2179.62</v>
      </c>
      <c r="N131" s="22">
        <f t="shared" si="68"/>
        <v>2708.39</v>
      </c>
      <c r="O131" s="22">
        <f>O130+O127</f>
        <v>20908.57</v>
      </c>
      <c r="P131" s="22">
        <f t="shared" si="68"/>
        <v>33398.75</v>
      </c>
      <c r="Q131" s="22">
        <f t="shared" si="68"/>
        <v>2446.21</v>
      </c>
      <c r="R131" s="22">
        <f t="shared" si="68"/>
        <v>17055.35</v>
      </c>
      <c r="S131" s="22">
        <f t="shared" si="68"/>
        <v>3938.81</v>
      </c>
      <c r="T131" s="22">
        <f>+T129+24.34</f>
        <v>3938.4</v>
      </c>
      <c r="U131" s="22">
        <f t="shared" si="68"/>
        <v>3138</v>
      </c>
      <c r="V131" s="22">
        <f t="shared" si="68"/>
        <v>7776.83</v>
      </c>
      <c r="W131" s="22">
        <f t="shared" si="68"/>
        <v>8105.21</v>
      </c>
      <c r="X131" s="22">
        <f t="shared" si="68"/>
        <v>8077.45</v>
      </c>
      <c r="Y131" s="22">
        <f t="shared" si="68"/>
        <v>8124.34</v>
      </c>
      <c r="Z131" s="22">
        <f t="shared" si="68"/>
        <v>8758.24</v>
      </c>
      <c r="AA131" s="68">
        <f t="shared" si="68"/>
        <v>8172.97</v>
      </c>
      <c r="AB131" s="80">
        <f t="shared" si="60"/>
        <v>203787.71999999997</v>
      </c>
    </row>
    <row r="132" spans="1:28" s="1" customFormat="1" ht="13.5" thickBot="1">
      <c r="A132" s="151"/>
      <c r="B132" s="152"/>
      <c r="C132" s="127"/>
      <c r="D132" s="13" t="s">
        <v>83</v>
      </c>
      <c r="E132" s="29">
        <f aca="true" t="shared" si="69" ref="E132:AA132">E127+E128-E129</f>
        <v>3657.579999999998</v>
      </c>
      <c r="F132" s="41">
        <f t="shared" si="69"/>
        <v>670.5899999999983</v>
      </c>
      <c r="G132" s="29">
        <f>G127+G128-G129</f>
        <v>1223.199999999999</v>
      </c>
      <c r="H132" s="29">
        <f t="shared" si="69"/>
        <v>2182.25</v>
      </c>
      <c r="I132" s="29">
        <f t="shared" si="69"/>
        <v>1184.6600000000008</v>
      </c>
      <c r="J132" s="29">
        <f t="shared" si="69"/>
        <v>452.0400000000004</v>
      </c>
      <c r="K132" s="29">
        <f t="shared" si="69"/>
        <v>1286.8099999999997</v>
      </c>
      <c r="L132" s="29">
        <f t="shared" si="69"/>
        <v>1369.58</v>
      </c>
      <c r="M132" s="29">
        <f t="shared" si="69"/>
        <v>269.47000000000025</v>
      </c>
      <c r="N132" s="29">
        <f t="shared" si="69"/>
        <v>1067.65</v>
      </c>
      <c r="O132" s="29">
        <f t="shared" si="69"/>
        <v>3426.8899999999994</v>
      </c>
      <c r="P132" s="29">
        <f t="shared" si="69"/>
        <v>5210.950000000004</v>
      </c>
      <c r="Q132" s="29">
        <f t="shared" si="69"/>
        <v>1048.35</v>
      </c>
      <c r="R132" s="29">
        <f t="shared" si="69"/>
        <v>4185.369999999999</v>
      </c>
      <c r="S132" s="29">
        <f t="shared" si="69"/>
        <v>516.7400000000002</v>
      </c>
      <c r="T132" s="29">
        <f t="shared" si="69"/>
        <v>364.00000000000045</v>
      </c>
      <c r="U132" s="29">
        <f t="shared" si="69"/>
        <v>870.25</v>
      </c>
      <c r="V132" s="29">
        <f t="shared" si="69"/>
        <v>2193.09</v>
      </c>
      <c r="W132" s="29">
        <f t="shared" si="69"/>
        <v>1040.3599999999997</v>
      </c>
      <c r="X132" s="29">
        <f t="shared" si="69"/>
        <v>1365.9700000000003</v>
      </c>
      <c r="Y132" s="29">
        <f t="shared" si="69"/>
        <v>2140.1399999999994</v>
      </c>
      <c r="Z132" s="29">
        <f t="shared" si="69"/>
        <v>1747.8600000000006</v>
      </c>
      <c r="AA132" s="84">
        <f t="shared" si="69"/>
        <v>602.0000000000009</v>
      </c>
      <c r="AB132" s="83">
        <f t="shared" si="60"/>
        <v>38075.799999999996</v>
      </c>
    </row>
    <row r="133" spans="1:28" s="4" customFormat="1" ht="13.5" customHeight="1">
      <c r="A133" s="142">
        <v>19</v>
      </c>
      <c r="B133" s="130" t="s">
        <v>19</v>
      </c>
      <c r="C133" s="125" t="s">
        <v>20</v>
      </c>
      <c r="D133" s="14" t="s">
        <v>84</v>
      </c>
      <c r="E133" s="20">
        <v>44848.23</v>
      </c>
      <c r="F133" s="20">
        <v>6163.48</v>
      </c>
      <c r="G133" s="20">
        <v>12167.93</v>
      </c>
      <c r="H133" s="20">
        <v>29417.98</v>
      </c>
      <c r="I133" s="20">
        <v>13058.1</v>
      </c>
      <c r="J133" s="20">
        <v>4982.73</v>
      </c>
      <c r="K133" s="20">
        <v>16722.52</v>
      </c>
      <c r="L133" s="20">
        <v>14156.91</v>
      </c>
      <c r="M133" s="20">
        <v>3456.68</v>
      </c>
      <c r="N133" s="20">
        <v>10102.05</v>
      </c>
      <c r="O133" s="20">
        <v>44452.01</v>
      </c>
      <c r="P133" s="20">
        <v>75296.69</v>
      </c>
      <c r="Q133" s="20">
        <v>5172.39</v>
      </c>
      <c r="R133" s="20">
        <v>43897.56</v>
      </c>
      <c r="S133" s="20">
        <v>7593.49</v>
      </c>
      <c r="T133" s="20">
        <v>5248.22</v>
      </c>
      <c r="U133" s="20">
        <v>8999.51</v>
      </c>
      <c r="V133" s="20">
        <v>20470.21</v>
      </c>
      <c r="W133" s="20">
        <v>11108.57</v>
      </c>
      <c r="X133" s="20">
        <v>17030.1</v>
      </c>
      <c r="Y133" s="20">
        <v>23081.51</v>
      </c>
      <c r="Z133" s="20">
        <v>17161.11</v>
      </c>
      <c r="AA133" s="77">
        <v>5106.4</v>
      </c>
      <c r="AB133" s="79">
        <f t="shared" si="60"/>
        <v>439694.38</v>
      </c>
    </row>
    <row r="134" spans="1:28" s="4" customFormat="1" ht="12.75">
      <c r="A134" s="143"/>
      <c r="B134" s="131"/>
      <c r="C134" s="126"/>
      <c r="D134" s="9" t="s">
        <v>1</v>
      </c>
      <c r="E134" s="21">
        <v>168777.13</v>
      </c>
      <c r="F134" s="21">
        <v>96715.64</v>
      </c>
      <c r="G134" s="21">
        <v>102984.2</v>
      </c>
      <c r="H134" s="21">
        <v>101939.51</v>
      </c>
      <c r="I134" s="21">
        <v>80303.33</v>
      </c>
      <c r="J134" s="21">
        <v>26040.6</v>
      </c>
      <c r="K134" s="21">
        <v>24941.05</v>
      </c>
      <c r="L134" s="21">
        <v>115542.93</v>
      </c>
      <c r="M134" s="21">
        <v>24973.8</v>
      </c>
      <c r="N134" s="21">
        <v>32966.76</v>
      </c>
      <c r="O134" s="21">
        <v>210261.89</v>
      </c>
      <c r="P134" s="21">
        <v>385064.04</v>
      </c>
      <c r="Q134" s="21">
        <v>35447.39</v>
      </c>
      <c r="R134" s="21">
        <v>209560.32</v>
      </c>
      <c r="S134" s="21">
        <v>44306.32</v>
      </c>
      <c r="T134" s="21">
        <v>44466.28</v>
      </c>
      <c r="U134" s="21">
        <v>37062.95</v>
      </c>
      <c r="V134" s="21">
        <v>94025.99</v>
      </c>
      <c r="W134" s="21">
        <v>94951.97</v>
      </c>
      <c r="X134" s="21">
        <v>92585.52</v>
      </c>
      <c r="Y134" s="21">
        <v>93978.97</v>
      </c>
      <c r="Z134" s="21">
        <v>103637.12</v>
      </c>
      <c r="AA134" s="67">
        <v>96914.96</v>
      </c>
      <c r="AB134" s="80">
        <f t="shared" si="60"/>
        <v>2317448.6700000004</v>
      </c>
    </row>
    <row r="135" spans="1:28" s="4" customFormat="1" ht="12.75">
      <c r="A135" s="143"/>
      <c r="B135" s="131"/>
      <c r="C135" s="126"/>
      <c r="D135" s="9" t="s">
        <v>2</v>
      </c>
      <c r="E135" s="21">
        <v>168202.95</v>
      </c>
      <c r="F135" s="21">
        <v>95085.78</v>
      </c>
      <c r="G135" s="21">
        <v>100993.74</v>
      </c>
      <c r="H135" s="21">
        <v>100329.68</v>
      </c>
      <c r="I135" s="21">
        <v>79912.8</v>
      </c>
      <c r="J135" s="21">
        <v>25767.5</v>
      </c>
      <c r="K135" s="21">
        <v>22031.44</v>
      </c>
      <c r="L135" s="21">
        <v>113782.56</v>
      </c>
      <c r="M135" s="21">
        <v>25301.56</v>
      </c>
      <c r="N135" s="21">
        <v>31467.14</v>
      </c>
      <c r="O135" s="21">
        <v>205478.61</v>
      </c>
      <c r="P135" s="21">
        <v>399153.45</v>
      </c>
      <c r="Q135" s="21">
        <v>28443.53</v>
      </c>
      <c r="R135" s="21">
        <v>200587.64</v>
      </c>
      <c r="S135" s="21">
        <v>45873.15</v>
      </c>
      <c r="T135" s="21">
        <v>45484.41</v>
      </c>
      <c r="U135" s="21">
        <v>36318.63</v>
      </c>
      <c r="V135" s="21">
        <v>90087.53</v>
      </c>
      <c r="W135" s="21">
        <v>94169.16</v>
      </c>
      <c r="X135" s="21">
        <v>93780.12</v>
      </c>
      <c r="Y135" s="21">
        <v>94197.43</v>
      </c>
      <c r="Z135" s="21">
        <v>101733.23</v>
      </c>
      <c r="AA135" s="67">
        <v>95002.25</v>
      </c>
      <c r="AB135" s="81">
        <f t="shared" si="60"/>
        <v>2293184.2899999996</v>
      </c>
    </row>
    <row r="136" spans="1:28" s="4" customFormat="1" ht="12.75">
      <c r="A136" s="143"/>
      <c r="B136" s="131"/>
      <c r="C136" s="126"/>
      <c r="D136" s="9" t="s">
        <v>4</v>
      </c>
      <c r="E136" s="34">
        <v>112880.45</v>
      </c>
      <c r="F136" s="34">
        <v>152850.59</v>
      </c>
      <c r="G136" s="34">
        <v>188163.65</v>
      </c>
      <c r="H136" s="34">
        <v>212520.94</v>
      </c>
      <c r="I136" s="34">
        <v>104473.91</v>
      </c>
      <c r="J136" s="34">
        <v>23395.43</v>
      </c>
      <c r="K136" s="34">
        <v>52387.27</v>
      </c>
      <c r="L136" s="34">
        <v>227531.86</v>
      </c>
      <c r="M136" s="34">
        <v>51038.47</v>
      </c>
      <c r="N136" s="34">
        <v>28683.17</v>
      </c>
      <c r="O136" s="34">
        <v>155398.97</v>
      </c>
      <c r="P136" s="34">
        <v>268203.8</v>
      </c>
      <c r="Q136" s="34">
        <v>75055.11</v>
      </c>
      <c r="R136" s="34">
        <v>172789.15</v>
      </c>
      <c r="S136" s="34">
        <v>80817.65</v>
      </c>
      <c r="T136" s="34">
        <v>72927.2</v>
      </c>
      <c r="U136" s="34">
        <v>63895.03</v>
      </c>
      <c r="V136" s="34">
        <v>152001.77</v>
      </c>
      <c r="W136" s="34">
        <v>171071.06</v>
      </c>
      <c r="X136" s="34">
        <v>160060.21</v>
      </c>
      <c r="Y136" s="34">
        <v>152134.31</v>
      </c>
      <c r="Z136" s="34">
        <v>85670.11</v>
      </c>
      <c r="AA136" s="85">
        <v>159532.06</v>
      </c>
      <c r="AB136" s="86">
        <f t="shared" si="60"/>
        <v>2923482.17</v>
      </c>
    </row>
    <row r="137" spans="1:28" s="4" customFormat="1" ht="12.75">
      <c r="A137" s="143"/>
      <c r="B137" s="131"/>
      <c r="C137" s="126"/>
      <c r="D137" s="9" t="s">
        <v>3</v>
      </c>
      <c r="E137" s="22">
        <f>E136+E133</f>
        <v>157728.68</v>
      </c>
      <c r="F137" s="22">
        <f>F136+F133</f>
        <v>159014.07</v>
      </c>
      <c r="G137" s="22">
        <f>G136+G133</f>
        <v>200331.58</v>
      </c>
      <c r="H137" s="22">
        <v>111667.41</v>
      </c>
      <c r="I137" s="22">
        <f>I136+I133</f>
        <v>117532.01000000001</v>
      </c>
      <c r="J137" s="22">
        <f>J136+J133</f>
        <v>28378.16</v>
      </c>
      <c r="K137" s="22">
        <f>K135</f>
        <v>22031.44</v>
      </c>
      <c r="L137" s="22">
        <f>L136+L133</f>
        <v>241688.77</v>
      </c>
      <c r="M137" s="22">
        <v>47897.55</v>
      </c>
      <c r="N137" s="22">
        <f>N136+N133</f>
        <v>38785.22</v>
      </c>
      <c r="O137" s="22">
        <f>O136+O133</f>
        <v>199850.98</v>
      </c>
      <c r="P137" s="22">
        <f>P136+P133</f>
        <v>343500.49</v>
      </c>
      <c r="Q137" s="22">
        <f>Q135</f>
        <v>28443.53</v>
      </c>
      <c r="R137" s="22">
        <f>R135</f>
        <v>200587.64</v>
      </c>
      <c r="S137" s="22">
        <f>S136+S133</f>
        <v>88411.14</v>
      </c>
      <c r="T137" s="22">
        <f>T136+T133</f>
        <v>78175.42</v>
      </c>
      <c r="U137" s="22">
        <f aca="true" t="shared" si="70" ref="U137:Z137">U135</f>
        <v>36318.63</v>
      </c>
      <c r="V137" s="22">
        <f t="shared" si="70"/>
        <v>90087.53</v>
      </c>
      <c r="W137" s="22">
        <f t="shared" si="70"/>
        <v>94169.16</v>
      </c>
      <c r="X137" s="22">
        <f t="shared" si="70"/>
        <v>93780.12</v>
      </c>
      <c r="Y137" s="22">
        <f t="shared" si="70"/>
        <v>94197.43</v>
      </c>
      <c r="Z137" s="22">
        <f t="shared" si="70"/>
        <v>101733.23</v>
      </c>
      <c r="AA137" s="22">
        <f>AA136+AA133</f>
        <v>164638.46</v>
      </c>
      <c r="AB137" s="82">
        <f t="shared" si="60"/>
        <v>2738948.65</v>
      </c>
    </row>
    <row r="138" spans="1:28" s="1" customFormat="1" ht="13.5" thickBot="1">
      <c r="A138" s="143"/>
      <c r="B138" s="131"/>
      <c r="C138" s="128"/>
      <c r="D138" s="13" t="s">
        <v>83</v>
      </c>
      <c r="E138" s="30">
        <f>E133+E134-E135</f>
        <v>45422.41</v>
      </c>
      <c r="F138" s="42">
        <f aca="true" t="shared" si="71" ref="F138:AA138">F133+F134-F135</f>
        <v>7793.3399999999965</v>
      </c>
      <c r="G138" s="30">
        <f>G133+G134-G135</f>
        <v>14158.39</v>
      </c>
      <c r="H138" s="30">
        <f>H133+H134-H135</f>
        <v>31027.809999999998</v>
      </c>
      <c r="I138" s="30">
        <f t="shared" si="71"/>
        <v>13448.630000000005</v>
      </c>
      <c r="J138" s="30">
        <f t="shared" si="71"/>
        <v>5255.829999999998</v>
      </c>
      <c r="K138" s="30">
        <f t="shared" si="71"/>
        <v>19632.13</v>
      </c>
      <c r="L138" s="30">
        <f t="shared" si="71"/>
        <v>15917.279999999999</v>
      </c>
      <c r="M138" s="30">
        <f t="shared" si="71"/>
        <v>3128.9199999999983</v>
      </c>
      <c r="N138" s="30">
        <f t="shared" si="71"/>
        <v>11601.669999999998</v>
      </c>
      <c r="O138" s="30">
        <f t="shared" si="71"/>
        <v>49235.29000000004</v>
      </c>
      <c r="P138" s="30">
        <f>P133+P134-P135</f>
        <v>61207.27999999997</v>
      </c>
      <c r="Q138" s="30">
        <f t="shared" si="71"/>
        <v>12176.25</v>
      </c>
      <c r="R138" s="30">
        <f t="shared" si="71"/>
        <v>52870.23999999999</v>
      </c>
      <c r="S138" s="30">
        <f t="shared" si="71"/>
        <v>6026.659999999996</v>
      </c>
      <c r="T138" s="30">
        <f>T133+T134-T135</f>
        <v>4230.0899999999965</v>
      </c>
      <c r="U138" s="30">
        <f t="shared" si="71"/>
        <v>9743.830000000002</v>
      </c>
      <c r="V138" s="30">
        <f t="shared" si="71"/>
        <v>24408.670000000013</v>
      </c>
      <c r="W138" s="30">
        <f t="shared" si="71"/>
        <v>11891.380000000005</v>
      </c>
      <c r="X138" s="30">
        <f>X133+X134-X135</f>
        <v>15835.5</v>
      </c>
      <c r="Y138" s="30">
        <f>Y133+Y134-Y135</f>
        <v>22863.050000000003</v>
      </c>
      <c r="Z138" s="30">
        <f t="shared" si="71"/>
        <v>19065</v>
      </c>
      <c r="AA138" s="78">
        <f t="shared" si="71"/>
        <v>7019.110000000001</v>
      </c>
      <c r="AB138" s="83">
        <f t="shared" si="60"/>
        <v>463958.75999999995</v>
      </c>
    </row>
    <row r="139" spans="1:28" s="1" customFormat="1" ht="13.5" customHeight="1">
      <c r="A139" s="153"/>
      <c r="B139" s="131"/>
      <c r="C139" s="129" t="s">
        <v>42</v>
      </c>
      <c r="D139" s="14" t="s">
        <v>84</v>
      </c>
      <c r="E139" s="25">
        <v>6646.17</v>
      </c>
      <c r="F139" s="25">
        <v>864.22</v>
      </c>
      <c r="G139" s="25">
        <v>1704.4</v>
      </c>
      <c r="H139" s="25">
        <v>3114.3</v>
      </c>
      <c r="I139" s="25">
        <v>1802.24</v>
      </c>
      <c r="J139" s="25">
        <v>698.99</v>
      </c>
      <c r="K139" s="25">
        <v>1477.1</v>
      </c>
      <c r="L139" s="25">
        <v>1957.47</v>
      </c>
      <c r="M139" s="25">
        <v>484.92</v>
      </c>
      <c r="N139" s="25">
        <v>1387.8</v>
      </c>
      <c r="O139" s="25">
        <v>5200.35</v>
      </c>
      <c r="P139" s="25">
        <v>9389.66</v>
      </c>
      <c r="Q139" s="25">
        <v>723.78</v>
      </c>
      <c r="R139" s="25">
        <v>5818.65</v>
      </c>
      <c r="S139" s="25">
        <v>1052.36</v>
      </c>
      <c r="T139" s="25">
        <v>735.56</v>
      </c>
      <c r="U139" s="25">
        <v>1262.02</v>
      </c>
      <c r="V139" s="25">
        <v>2783.8</v>
      </c>
      <c r="W139" s="25">
        <v>1559.85</v>
      </c>
      <c r="X139" s="25">
        <v>2076.92</v>
      </c>
      <c r="Y139" s="25">
        <v>3215.77</v>
      </c>
      <c r="Z139" s="25">
        <v>2218.52</v>
      </c>
      <c r="AA139" s="66">
        <v>710.35</v>
      </c>
      <c r="AB139" s="79">
        <f t="shared" si="60"/>
        <v>56885.19999999998</v>
      </c>
    </row>
    <row r="140" spans="1:28" s="1" customFormat="1" ht="12.75">
      <c r="A140" s="153"/>
      <c r="B140" s="131"/>
      <c r="C140" s="126"/>
      <c r="D140" s="9" t="s">
        <v>1</v>
      </c>
      <c r="E140" s="21">
        <v>23499.78</v>
      </c>
      <c r="F140" s="21">
        <v>13519.26</v>
      </c>
      <c r="G140" s="21">
        <v>14395.45</v>
      </c>
      <c r="H140" s="21">
        <v>14249.44</v>
      </c>
      <c r="I140" s="21">
        <v>11224.86</v>
      </c>
      <c r="J140" s="21">
        <v>3639.96</v>
      </c>
      <c r="K140" s="21">
        <v>3486.22</v>
      </c>
      <c r="L140" s="21">
        <v>16150.73</v>
      </c>
      <c r="M140" s="21">
        <v>3490.75</v>
      </c>
      <c r="N140" s="21">
        <v>4607.86</v>
      </c>
      <c r="O140" s="21">
        <v>29078.61</v>
      </c>
      <c r="P140" s="21">
        <v>53564.73</v>
      </c>
      <c r="Q140" s="21">
        <v>4955.02</v>
      </c>
      <c r="R140" s="21">
        <v>28981.06</v>
      </c>
      <c r="S140" s="21">
        <v>6193.25</v>
      </c>
      <c r="T140" s="21">
        <v>6215.98</v>
      </c>
      <c r="U140" s="21">
        <v>5181.04</v>
      </c>
      <c r="V140" s="21">
        <v>13142.66</v>
      </c>
      <c r="W140" s="21">
        <v>13273.04</v>
      </c>
      <c r="X140" s="21">
        <v>13184.14</v>
      </c>
      <c r="Y140" s="21">
        <v>13136.33</v>
      </c>
      <c r="Z140" s="21">
        <v>14197.53</v>
      </c>
      <c r="AA140" s="67">
        <v>13546.72</v>
      </c>
      <c r="AB140" s="80">
        <f t="shared" si="60"/>
        <v>322914.42000000004</v>
      </c>
    </row>
    <row r="141" spans="1:28" s="1" customFormat="1" ht="12.75">
      <c r="A141" s="153"/>
      <c r="B141" s="131"/>
      <c r="C141" s="126"/>
      <c r="D141" s="9" t="s">
        <v>2</v>
      </c>
      <c r="E141" s="21">
        <v>23274.55</v>
      </c>
      <c r="F141" s="21">
        <v>13293.26</v>
      </c>
      <c r="G141" s="21">
        <v>14120.31</v>
      </c>
      <c r="H141" s="21">
        <v>14025.25</v>
      </c>
      <c r="I141" s="21">
        <v>11174.03</v>
      </c>
      <c r="J141" s="21">
        <v>3604.33</v>
      </c>
      <c r="K141" s="21">
        <v>3081.96</v>
      </c>
      <c r="L141" s="21">
        <v>15885.47</v>
      </c>
      <c r="M141" s="21">
        <v>3538.31</v>
      </c>
      <c r="N141" s="21">
        <v>4400.51</v>
      </c>
      <c r="O141" s="21">
        <v>28422.83</v>
      </c>
      <c r="P141" s="21">
        <v>54473.22</v>
      </c>
      <c r="Q141" s="21">
        <v>3975.22</v>
      </c>
      <c r="R141" s="21">
        <v>27740.94</v>
      </c>
      <c r="S141" s="21">
        <v>6404.64</v>
      </c>
      <c r="T141" s="21">
        <v>6360.08</v>
      </c>
      <c r="U141" s="21">
        <v>5080.44</v>
      </c>
      <c r="V141" s="21">
        <v>12595.9</v>
      </c>
      <c r="W141" s="21">
        <v>13169.48</v>
      </c>
      <c r="X141" s="21">
        <v>13073.7</v>
      </c>
      <c r="Y141" s="21">
        <v>13172.61</v>
      </c>
      <c r="Z141" s="21">
        <v>14010.34</v>
      </c>
      <c r="AA141" s="67">
        <v>13279.03</v>
      </c>
      <c r="AB141" s="81">
        <f t="shared" si="60"/>
        <v>318156.41000000003</v>
      </c>
    </row>
    <row r="142" spans="1:28" s="1" customFormat="1" ht="12.75">
      <c r="A142" s="153"/>
      <c r="B142" s="131"/>
      <c r="C142" s="126"/>
      <c r="D142" s="9" t="s">
        <v>4</v>
      </c>
      <c r="E142" s="21">
        <f>+E140</f>
        <v>23499.78</v>
      </c>
      <c r="F142" s="21">
        <f aca="true" t="shared" si="72" ref="F142:AA142">+F140</f>
        <v>13519.26</v>
      </c>
      <c r="G142" s="21">
        <f t="shared" si="72"/>
        <v>14395.45</v>
      </c>
      <c r="H142" s="21">
        <f t="shared" si="72"/>
        <v>14249.44</v>
      </c>
      <c r="I142" s="21">
        <f t="shared" si="72"/>
        <v>11224.86</v>
      </c>
      <c r="J142" s="21">
        <f t="shared" si="72"/>
        <v>3639.96</v>
      </c>
      <c r="K142" s="21">
        <f t="shared" si="72"/>
        <v>3486.22</v>
      </c>
      <c r="L142" s="21">
        <f t="shared" si="72"/>
        <v>16150.73</v>
      </c>
      <c r="M142" s="21">
        <f t="shared" si="72"/>
        <v>3490.75</v>
      </c>
      <c r="N142" s="21">
        <f t="shared" si="72"/>
        <v>4607.86</v>
      </c>
      <c r="O142" s="21">
        <f t="shared" si="72"/>
        <v>29078.61</v>
      </c>
      <c r="P142" s="21">
        <f t="shared" si="72"/>
        <v>53564.73</v>
      </c>
      <c r="Q142" s="21">
        <f t="shared" si="72"/>
        <v>4955.02</v>
      </c>
      <c r="R142" s="21">
        <f t="shared" si="72"/>
        <v>28981.06</v>
      </c>
      <c r="S142" s="21">
        <f t="shared" si="72"/>
        <v>6193.25</v>
      </c>
      <c r="T142" s="21">
        <f t="shared" si="72"/>
        <v>6215.98</v>
      </c>
      <c r="U142" s="21">
        <f t="shared" si="72"/>
        <v>5181.04</v>
      </c>
      <c r="V142" s="21">
        <f t="shared" si="72"/>
        <v>13142.66</v>
      </c>
      <c r="W142" s="21">
        <f t="shared" si="72"/>
        <v>13273.04</v>
      </c>
      <c r="X142" s="21">
        <f t="shared" si="72"/>
        <v>13184.14</v>
      </c>
      <c r="Y142" s="21">
        <f t="shared" si="72"/>
        <v>13136.33</v>
      </c>
      <c r="Z142" s="21">
        <f t="shared" si="72"/>
        <v>14197.53</v>
      </c>
      <c r="AA142" s="67">
        <f t="shared" si="72"/>
        <v>13546.72</v>
      </c>
      <c r="AB142" s="80">
        <f t="shared" si="60"/>
        <v>322914.42000000004</v>
      </c>
    </row>
    <row r="143" spans="1:28" s="1" customFormat="1" ht="12.75">
      <c r="A143" s="153"/>
      <c r="B143" s="131"/>
      <c r="C143" s="126"/>
      <c r="D143" s="9" t="s">
        <v>3</v>
      </c>
      <c r="E143" s="22">
        <f>+E141</f>
        <v>23274.55</v>
      </c>
      <c r="F143" s="47">
        <f>F142+F139</f>
        <v>14383.48</v>
      </c>
      <c r="G143" s="47">
        <f>G142+G139</f>
        <v>16099.85</v>
      </c>
      <c r="H143" s="22">
        <f aca="true" t="shared" si="73" ref="H143:AA143">+H141</f>
        <v>14025.25</v>
      </c>
      <c r="I143" s="22">
        <f>I142+I139</f>
        <v>13027.1</v>
      </c>
      <c r="J143" s="22">
        <f t="shared" si="73"/>
        <v>3604.33</v>
      </c>
      <c r="K143" s="22">
        <f t="shared" si="73"/>
        <v>3081.96</v>
      </c>
      <c r="L143" s="22">
        <f>L142+L139</f>
        <v>18108.2</v>
      </c>
      <c r="M143" s="22">
        <f t="shared" si="73"/>
        <v>3538.31</v>
      </c>
      <c r="N143" s="22">
        <f t="shared" si="73"/>
        <v>4400.51</v>
      </c>
      <c r="O143" s="22">
        <f>O142+O139</f>
        <v>34278.96</v>
      </c>
      <c r="P143" s="22">
        <f t="shared" si="73"/>
        <v>54473.22</v>
      </c>
      <c r="Q143" s="22">
        <f t="shared" si="73"/>
        <v>3975.22</v>
      </c>
      <c r="R143" s="22">
        <f t="shared" si="73"/>
        <v>27740.94</v>
      </c>
      <c r="S143" s="22">
        <f t="shared" si="73"/>
        <v>6404.64</v>
      </c>
      <c r="T143" s="22">
        <f>T142+T139</f>
        <v>6951.539999999999</v>
      </c>
      <c r="U143" s="22">
        <f t="shared" si="73"/>
        <v>5080.44</v>
      </c>
      <c r="V143" s="22">
        <f t="shared" si="73"/>
        <v>12595.9</v>
      </c>
      <c r="W143" s="22">
        <f t="shared" si="73"/>
        <v>13169.48</v>
      </c>
      <c r="X143" s="22">
        <f t="shared" si="73"/>
        <v>13073.7</v>
      </c>
      <c r="Y143" s="22">
        <f t="shared" si="73"/>
        <v>13172.61</v>
      </c>
      <c r="Z143" s="22">
        <f t="shared" si="73"/>
        <v>14010.34</v>
      </c>
      <c r="AA143" s="68">
        <f t="shared" si="73"/>
        <v>13279.03</v>
      </c>
      <c r="AB143" s="82">
        <f t="shared" si="60"/>
        <v>331749.56000000006</v>
      </c>
    </row>
    <row r="144" spans="1:28" s="1" customFormat="1" ht="13.5" thickBot="1">
      <c r="A144" s="153"/>
      <c r="B144" s="132"/>
      <c r="C144" s="127"/>
      <c r="D144" s="13" t="s">
        <v>83</v>
      </c>
      <c r="E144" s="29">
        <f aca="true" t="shared" si="74" ref="E144:P144">E139+E140-E141</f>
        <v>6871.399999999998</v>
      </c>
      <c r="F144" s="41">
        <f t="shared" si="74"/>
        <v>1090.2199999999993</v>
      </c>
      <c r="G144" s="29">
        <f t="shared" si="74"/>
        <v>1979.5400000000009</v>
      </c>
      <c r="H144" s="29">
        <f t="shared" si="74"/>
        <v>3338.4900000000016</v>
      </c>
      <c r="I144" s="29">
        <f t="shared" si="74"/>
        <v>1853.0699999999997</v>
      </c>
      <c r="J144" s="29">
        <f t="shared" si="74"/>
        <v>734.6199999999999</v>
      </c>
      <c r="K144" s="29">
        <f t="shared" si="74"/>
        <v>1881.3599999999997</v>
      </c>
      <c r="L144" s="29">
        <f t="shared" si="74"/>
        <v>2222.7300000000014</v>
      </c>
      <c r="M144" s="29">
        <f t="shared" si="74"/>
        <v>437.3600000000001</v>
      </c>
      <c r="N144" s="29">
        <f t="shared" si="74"/>
        <v>1595.1499999999996</v>
      </c>
      <c r="O144" s="29">
        <f t="shared" si="74"/>
        <v>5856.129999999997</v>
      </c>
      <c r="P144" s="29">
        <f t="shared" si="74"/>
        <v>8481.169999999998</v>
      </c>
      <c r="Q144" s="29">
        <f aca="true" t="shared" si="75" ref="Q144:W144">Q139+Q140-Q141</f>
        <v>1703.5800000000004</v>
      </c>
      <c r="R144" s="29">
        <f t="shared" si="75"/>
        <v>7058.77</v>
      </c>
      <c r="S144" s="29">
        <f t="shared" si="75"/>
        <v>840.9699999999993</v>
      </c>
      <c r="T144" s="29">
        <f t="shared" si="75"/>
        <v>591.4599999999991</v>
      </c>
      <c r="U144" s="29">
        <f t="shared" si="75"/>
        <v>1362.62</v>
      </c>
      <c r="V144" s="29">
        <f t="shared" si="75"/>
        <v>3330.5599999999995</v>
      </c>
      <c r="W144" s="29">
        <f t="shared" si="75"/>
        <v>1663.4100000000017</v>
      </c>
      <c r="X144" s="29">
        <f>X139+X140-X141</f>
        <v>2187.3599999999988</v>
      </c>
      <c r="Y144" s="29">
        <f>Y139+Y140-Y141</f>
        <v>3179.49</v>
      </c>
      <c r="Z144" s="29">
        <f>Z139+Z140-Z141</f>
        <v>2405.709999999999</v>
      </c>
      <c r="AA144" s="84">
        <f>AA139+AA140-AA141</f>
        <v>978.039999999999</v>
      </c>
      <c r="AB144" s="83">
        <f t="shared" si="60"/>
        <v>61643.21</v>
      </c>
    </row>
    <row r="145" spans="1:28" s="1" customFormat="1" ht="12.75">
      <c r="A145" s="123">
        <v>31</v>
      </c>
      <c r="B145" s="155" t="s">
        <v>26</v>
      </c>
      <c r="C145" s="125" t="s">
        <v>27</v>
      </c>
      <c r="D145" s="14" t="s">
        <v>84</v>
      </c>
      <c r="E145" s="20">
        <v>62290.4</v>
      </c>
      <c r="F145" s="46"/>
      <c r="G145" s="52"/>
      <c r="H145" s="52"/>
      <c r="I145" s="52"/>
      <c r="J145" s="52"/>
      <c r="K145" s="52"/>
      <c r="L145" s="52"/>
      <c r="M145" s="52"/>
      <c r="N145" s="52">
        <v>27404.28</v>
      </c>
      <c r="O145" s="20">
        <v>62708.91</v>
      </c>
      <c r="P145" s="20">
        <v>136240.72</v>
      </c>
      <c r="Q145" s="20"/>
      <c r="R145" s="20">
        <v>94846.69</v>
      </c>
      <c r="S145" s="52"/>
      <c r="T145" s="52"/>
      <c r="U145" s="52"/>
      <c r="V145" s="52"/>
      <c r="W145" s="52"/>
      <c r="X145" s="52"/>
      <c r="Y145" s="52"/>
      <c r="Z145" s="52">
        <v>-1.71</v>
      </c>
      <c r="AA145" s="75"/>
      <c r="AB145" s="70">
        <f t="shared" si="60"/>
        <v>383489.29</v>
      </c>
    </row>
    <row r="146" spans="1:28" s="1" customFormat="1" ht="12.75">
      <c r="A146" s="123"/>
      <c r="B146" s="156"/>
      <c r="C146" s="126"/>
      <c r="D146" s="9" t="s">
        <v>1</v>
      </c>
      <c r="E146" s="21">
        <v>318883.62</v>
      </c>
      <c r="F146" s="47"/>
      <c r="G146" s="22"/>
      <c r="H146" s="22"/>
      <c r="I146" s="22"/>
      <c r="J146" s="22"/>
      <c r="K146" s="22"/>
      <c r="L146" s="22"/>
      <c r="M146" s="22"/>
      <c r="N146" s="22">
        <v>89745.12</v>
      </c>
      <c r="O146" s="21">
        <v>389426.64</v>
      </c>
      <c r="P146" s="21">
        <v>723375.3</v>
      </c>
      <c r="Q146" s="21"/>
      <c r="R146" s="21">
        <v>392195.67</v>
      </c>
      <c r="S146" s="22"/>
      <c r="T146" s="22"/>
      <c r="U146" s="22"/>
      <c r="V146" s="22"/>
      <c r="W146" s="22"/>
      <c r="X146" s="22"/>
      <c r="Y146" s="22"/>
      <c r="Z146" s="22"/>
      <c r="AA146" s="68"/>
      <c r="AB146" s="71">
        <f t="shared" si="60"/>
        <v>1913626.35</v>
      </c>
    </row>
    <row r="147" spans="1:28" s="1" customFormat="1" ht="12.75">
      <c r="A147" s="123"/>
      <c r="B147" s="156"/>
      <c r="C147" s="126"/>
      <c r="D147" s="9" t="s">
        <v>2</v>
      </c>
      <c r="E147" s="21">
        <v>319837.12</v>
      </c>
      <c r="F147" s="47"/>
      <c r="G147" s="22"/>
      <c r="H147" s="22"/>
      <c r="I147" s="22"/>
      <c r="J147" s="22"/>
      <c r="K147" s="22"/>
      <c r="L147" s="22"/>
      <c r="M147" s="22"/>
      <c r="N147" s="22">
        <v>85758.35</v>
      </c>
      <c r="O147" s="21">
        <v>382022.65</v>
      </c>
      <c r="P147" s="21">
        <v>718872.08</v>
      </c>
      <c r="Q147" s="21"/>
      <c r="R147" s="21">
        <v>369215.16</v>
      </c>
      <c r="S147" s="22"/>
      <c r="T147" s="22"/>
      <c r="U147" s="22"/>
      <c r="V147" s="22"/>
      <c r="W147" s="22"/>
      <c r="X147" s="22"/>
      <c r="Y147" s="22"/>
      <c r="Z147" s="22"/>
      <c r="AA147" s="68"/>
      <c r="AB147" s="72">
        <f t="shared" si="60"/>
        <v>1875705.3599999999</v>
      </c>
    </row>
    <row r="148" spans="1:28" s="1" customFormat="1" ht="12.75">
      <c r="A148" s="123"/>
      <c r="B148" s="156"/>
      <c r="C148" s="126"/>
      <c r="D148" s="9" t="s">
        <v>4</v>
      </c>
      <c r="E148" s="21">
        <f>+E146</f>
        <v>318883.62</v>
      </c>
      <c r="F148" s="21"/>
      <c r="G148" s="21"/>
      <c r="H148" s="21"/>
      <c r="I148" s="21"/>
      <c r="J148" s="21"/>
      <c r="K148" s="21"/>
      <c r="L148" s="21"/>
      <c r="M148" s="21"/>
      <c r="N148" s="21">
        <f aca="true" t="shared" si="76" ref="N148:R149">+N146</f>
        <v>89745.12</v>
      </c>
      <c r="O148" s="21">
        <f t="shared" si="76"/>
        <v>389426.64</v>
      </c>
      <c r="P148" s="21">
        <f t="shared" si="76"/>
        <v>723375.3</v>
      </c>
      <c r="Q148" s="21">
        <f t="shared" si="76"/>
        <v>0</v>
      </c>
      <c r="R148" s="21">
        <f t="shared" si="76"/>
        <v>392195.67</v>
      </c>
      <c r="S148" s="21"/>
      <c r="T148" s="21"/>
      <c r="U148" s="21"/>
      <c r="V148" s="21"/>
      <c r="W148" s="21"/>
      <c r="X148" s="21"/>
      <c r="Y148" s="21"/>
      <c r="Z148" s="21"/>
      <c r="AA148" s="67"/>
      <c r="AB148" s="71">
        <f t="shared" si="60"/>
        <v>1913626.35</v>
      </c>
    </row>
    <row r="149" spans="1:28" s="1" customFormat="1" ht="12.75">
      <c r="A149" s="123"/>
      <c r="B149" s="156"/>
      <c r="C149" s="126"/>
      <c r="D149" s="9" t="s">
        <v>3</v>
      </c>
      <c r="E149" s="22">
        <f>+E147</f>
        <v>319837.12</v>
      </c>
      <c r="F149" s="47"/>
      <c r="G149" s="22"/>
      <c r="H149" s="22"/>
      <c r="I149" s="22"/>
      <c r="J149" s="22"/>
      <c r="K149" s="22"/>
      <c r="L149" s="22"/>
      <c r="M149" s="22"/>
      <c r="N149" s="22">
        <f t="shared" si="76"/>
        <v>85758.35</v>
      </c>
      <c r="O149" s="22">
        <f>O148+O145</f>
        <v>452135.55000000005</v>
      </c>
      <c r="P149" s="22">
        <f t="shared" si="76"/>
        <v>718872.08</v>
      </c>
      <c r="Q149" s="22">
        <f t="shared" si="76"/>
        <v>0</v>
      </c>
      <c r="R149" s="22">
        <f t="shared" si="76"/>
        <v>369215.16</v>
      </c>
      <c r="S149" s="22"/>
      <c r="T149" s="22"/>
      <c r="U149" s="22"/>
      <c r="V149" s="22"/>
      <c r="W149" s="22"/>
      <c r="X149" s="22"/>
      <c r="Y149" s="22"/>
      <c r="Z149" s="22"/>
      <c r="AA149" s="68"/>
      <c r="AB149" s="71">
        <f t="shared" si="60"/>
        <v>1945818.26</v>
      </c>
    </row>
    <row r="150" spans="1:28" s="1" customFormat="1" ht="13.5" thickBot="1">
      <c r="A150" s="123"/>
      <c r="B150" s="157"/>
      <c r="C150" s="128"/>
      <c r="D150" s="13" t="s">
        <v>83</v>
      </c>
      <c r="E150" s="24">
        <f>E145+E146-E147</f>
        <v>61336.90000000002</v>
      </c>
      <c r="F150" s="42"/>
      <c r="G150" s="24"/>
      <c r="H150" s="24"/>
      <c r="I150" s="24"/>
      <c r="J150" s="24"/>
      <c r="K150" s="24"/>
      <c r="L150" s="24"/>
      <c r="M150" s="24"/>
      <c r="N150" s="24">
        <f>N145+N146-N147</f>
        <v>31391.04999999999</v>
      </c>
      <c r="O150" s="24">
        <f>O145+O146-O147</f>
        <v>70112.90000000002</v>
      </c>
      <c r="P150" s="24">
        <f>P145+P146-P147</f>
        <v>140743.94000000006</v>
      </c>
      <c r="Q150" s="24"/>
      <c r="R150" s="24">
        <f>R145+R146-R147</f>
        <v>117827.20000000001</v>
      </c>
      <c r="S150" s="24"/>
      <c r="T150" s="24"/>
      <c r="U150" s="24"/>
      <c r="V150" s="24"/>
      <c r="W150" s="24"/>
      <c r="X150" s="24"/>
      <c r="Y150" s="24"/>
      <c r="Z150" s="24">
        <f>Z145+Z146-Z147</f>
        <v>-1.71</v>
      </c>
      <c r="AA150" s="76"/>
      <c r="AB150" s="73">
        <f t="shared" si="60"/>
        <v>421410.2800000001</v>
      </c>
    </row>
    <row r="151" spans="1:28" s="1" customFormat="1" ht="12.75">
      <c r="A151" s="98">
        <v>31</v>
      </c>
      <c r="B151" s="154" t="s">
        <v>22</v>
      </c>
      <c r="C151" s="95" t="s">
        <v>54</v>
      </c>
      <c r="D151" s="14" t="s">
        <v>84</v>
      </c>
      <c r="E151" s="28">
        <v>369.25</v>
      </c>
      <c r="F151" s="48"/>
      <c r="G151" s="35"/>
      <c r="H151" s="35"/>
      <c r="I151" s="35"/>
      <c r="J151" s="35"/>
      <c r="K151" s="35"/>
      <c r="L151" s="35"/>
      <c r="M151" s="35"/>
      <c r="N151" s="25">
        <v>160.87</v>
      </c>
      <c r="O151" s="25">
        <v>386.05</v>
      </c>
      <c r="P151" s="25">
        <v>826.8</v>
      </c>
      <c r="Q151" s="25"/>
      <c r="R151" s="25">
        <v>580.49</v>
      </c>
      <c r="S151" s="35"/>
      <c r="T151" s="35"/>
      <c r="U151" s="35"/>
      <c r="V151" s="35"/>
      <c r="W151" s="35"/>
      <c r="X151" s="35"/>
      <c r="Y151" s="35"/>
      <c r="Z151" s="35"/>
      <c r="AA151" s="74"/>
      <c r="AB151" s="70">
        <f t="shared" si="60"/>
        <v>2323.46</v>
      </c>
    </row>
    <row r="152" spans="1:28" s="1" customFormat="1" ht="12.75">
      <c r="A152" s="98"/>
      <c r="B152" s="107"/>
      <c r="C152" s="96"/>
      <c r="D152" s="9" t="s">
        <v>1</v>
      </c>
      <c r="E152" s="27">
        <v>1872.57</v>
      </c>
      <c r="F152" s="47"/>
      <c r="G152" s="22"/>
      <c r="H152" s="22"/>
      <c r="I152" s="22"/>
      <c r="J152" s="22"/>
      <c r="K152" s="22"/>
      <c r="L152" s="22"/>
      <c r="M152" s="22"/>
      <c r="N152" s="21">
        <v>527.43</v>
      </c>
      <c r="O152" s="21">
        <v>2286.69</v>
      </c>
      <c r="P152" s="21">
        <v>4248.12</v>
      </c>
      <c r="Q152" s="21"/>
      <c r="R152" s="21">
        <v>2303.11</v>
      </c>
      <c r="S152" s="22"/>
      <c r="T152" s="22"/>
      <c r="U152" s="22"/>
      <c r="V152" s="22"/>
      <c r="W152" s="22"/>
      <c r="X152" s="22"/>
      <c r="Y152" s="22"/>
      <c r="Z152" s="22"/>
      <c r="AA152" s="68"/>
      <c r="AB152" s="71">
        <f t="shared" si="60"/>
        <v>11237.920000000002</v>
      </c>
    </row>
    <row r="153" spans="1:28" s="1" customFormat="1" ht="12.75">
      <c r="A153" s="98"/>
      <c r="B153" s="107"/>
      <c r="C153" s="96"/>
      <c r="D153" s="9" t="s">
        <v>2</v>
      </c>
      <c r="E153" s="27">
        <v>1877.82</v>
      </c>
      <c r="F153" s="47">
        <v>0</v>
      </c>
      <c r="G153" s="22">
        <v>0</v>
      </c>
      <c r="H153" s="22">
        <v>0</v>
      </c>
      <c r="I153" s="22"/>
      <c r="J153" s="22">
        <v>0</v>
      </c>
      <c r="K153" s="22"/>
      <c r="L153" s="22"/>
      <c r="M153" s="22"/>
      <c r="N153" s="21">
        <v>503.56</v>
      </c>
      <c r="O153" s="21">
        <v>2243</v>
      </c>
      <c r="P153" s="21">
        <v>4220.49</v>
      </c>
      <c r="Q153" s="21"/>
      <c r="R153" s="21">
        <v>2167.88</v>
      </c>
      <c r="S153" s="22"/>
      <c r="T153" s="22"/>
      <c r="U153" s="22"/>
      <c r="V153" s="22"/>
      <c r="W153" s="22"/>
      <c r="X153" s="22"/>
      <c r="Y153" s="22"/>
      <c r="Z153" s="22"/>
      <c r="AA153" s="68"/>
      <c r="AB153" s="72">
        <f t="shared" si="60"/>
        <v>11012.75</v>
      </c>
    </row>
    <row r="154" spans="1:28" s="1" customFormat="1" ht="12.75">
      <c r="A154" s="98"/>
      <c r="B154" s="107"/>
      <c r="C154" s="96"/>
      <c r="D154" s="9" t="s">
        <v>4</v>
      </c>
      <c r="E154" s="21">
        <f>+E152</f>
        <v>1872.57</v>
      </c>
      <c r="F154" s="21"/>
      <c r="G154" s="21"/>
      <c r="H154" s="21"/>
      <c r="I154" s="21"/>
      <c r="J154" s="21"/>
      <c r="K154" s="21"/>
      <c r="L154" s="21"/>
      <c r="M154" s="21"/>
      <c r="N154" s="21">
        <f aca="true" t="shared" si="77" ref="N154:R155">+N152</f>
        <v>527.43</v>
      </c>
      <c r="O154" s="21">
        <f t="shared" si="77"/>
        <v>2286.69</v>
      </c>
      <c r="P154" s="21">
        <f t="shared" si="77"/>
        <v>4248.12</v>
      </c>
      <c r="Q154" s="21">
        <f t="shared" si="77"/>
        <v>0</v>
      </c>
      <c r="R154" s="21">
        <f t="shared" si="77"/>
        <v>2303.11</v>
      </c>
      <c r="S154" s="21"/>
      <c r="T154" s="21"/>
      <c r="U154" s="21"/>
      <c r="V154" s="21"/>
      <c r="W154" s="21"/>
      <c r="X154" s="21"/>
      <c r="Y154" s="21"/>
      <c r="Z154" s="21"/>
      <c r="AA154" s="67"/>
      <c r="AB154" s="71">
        <f t="shared" si="60"/>
        <v>11237.920000000002</v>
      </c>
    </row>
    <row r="155" spans="1:28" s="1" customFormat="1" ht="12.75">
      <c r="A155" s="98"/>
      <c r="B155" s="107"/>
      <c r="C155" s="96"/>
      <c r="D155" s="9" t="s">
        <v>3</v>
      </c>
      <c r="E155" s="22">
        <f>+E153</f>
        <v>1877.82</v>
      </c>
      <c r="F155" s="47"/>
      <c r="G155" s="22"/>
      <c r="H155" s="22"/>
      <c r="I155" s="22"/>
      <c r="J155" s="22"/>
      <c r="K155" s="22"/>
      <c r="L155" s="22"/>
      <c r="M155" s="22"/>
      <c r="N155" s="22">
        <f t="shared" si="77"/>
        <v>503.56</v>
      </c>
      <c r="O155" s="22">
        <f>O154+O151</f>
        <v>2672.7400000000002</v>
      </c>
      <c r="P155" s="22">
        <f t="shared" si="77"/>
        <v>4220.49</v>
      </c>
      <c r="Q155" s="22">
        <f t="shared" si="77"/>
        <v>0</v>
      </c>
      <c r="R155" s="22">
        <f t="shared" si="77"/>
        <v>2167.88</v>
      </c>
      <c r="S155" s="22"/>
      <c r="T155" s="22"/>
      <c r="U155" s="22"/>
      <c r="V155" s="22"/>
      <c r="W155" s="22"/>
      <c r="X155" s="22"/>
      <c r="Y155" s="22"/>
      <c r="Z155" s="22"/>
      <c r="AA155" s="68"/>
      <c r="AB155" s="71">
        <f t="shared" si="60"/>
        <v>11442.490000000002</v>
      </c>
    </row>
    <row r="156" spans="1:28" s="1" customFormat="1" ht="13.5" thickBot="1">
      <c r="A156" s="98"/>
      <c r="B156" s="107"/>
      <c r="C156" s="97"/>
      <c r="D156" s="13" t="s">
        <v>83</v>
      </c>
      <c r="E156" s="23">
        <f>E151+E152-E153</f>
        <v>363.9999999999998</v>
      </c>
      <c r="F156" s="41">
        <f>F151+F152-F153</f>
        <v>0</v>
      </c>
      <c r="G156" s="23">
        <f aca="true" t="shared" si="78" ref="G156:M156">G151+G152-G153</f>
        <v>0</v>
      </c>
      <c r="H156" s="23">
        <f t="shared" si="78"/>
        <v>0</v>
      </c>
      <c r="I156" s="23">
        <f t="shared" si="78"/>
        <v>0</v>
      </c>
      <c r="J156" s="23">
        <f t="shared" si="78"/>
        <v>0</v>
      </c>
      <c r="K156" s="23">
        <f t="shared" si="78"/>
        <v>0</v>
      </c>
      <c r="L156" s="23">
        <f t="shared" si="78"/>
        <v>0</v>
      </c>
      <c r="M156" s="23">
        <f t="shared" si="78"/>
        <v>0</v>
      </c>
      <c r="N156" s="23">
        <f>N151+N152-N153</f>
        <v>184.73999999999995</v>
      </c>
      <c r="O156" s="23">
        <f>O151+O152-O153</f>
        <v>429.74000000000024</v>
      </c>
      <c r="P156" s="23">
        <f>P151+P152-P153</f>
        <v>854.4300000000003</v>
      </c>
      <c r="Q156" s="23"/>
      <c r="R156" s="23">
        <f aca="true" t="shared" si="79" ref="R156:Z156">R151+R152-R153</f>
        <v>715.7200000000003</v>
      </c>
      <c r="S156" s="24">
        <f t="shared" si="79"/>
        <v>0</v>
      </c>
      <c r="T156" s="24">
        <f t="shared" si="79"/>
        <v>0</v>
      </c>
      <c r="U156" s="24">
        <f t="shared" si="79"/>
        <v>0</v>
      </c>
      <c r="V156" s="24">
        <f t="shared" si="79"/>
        <v>0</v>
      </c>
      <c r="W156" s="24">
        <f t="shared" si="79"/>
        <v>0</v>
      </c>
      <c r="X156" s="24">
        <f t="shared" si="79"/>
        <v>0</v>
      </c>
      <c r="Y156" s="24">
        <f t="shared" si="79"/>
        <v>0</v>
      </c>
      <c r="Z156" s="24">
        <f t="shared" si="79"/>
        <v>0</v>
      </c>
      <c r="AA156" s="69"/>
      <c r="AB156" s="73">
        <f t="shared" si="60"/>
        <v>2548.6300000000006</v>
      </c>
    </row>
    <row r="157" spans="1:28" s="1" customFormat="1" ht="12.75">
      <c r="A157" s="8"/>
      <c r="B157" s="107" t="s">
        <v>46</v>
      </c>
      <c r="C157" s="95" t="s">
        <v>53</v>
      </c>
      <c r="D157" s="14" t="s">
        <v>84</v>
      </c>
      <c r="E157" s="28">
        <f>15755.12-396.42</f>
        <v>15358.7</v>
      </c>
      <c r="F157" s="48"/>
      <c r="G157" s="35"/>
      <c r="H157" s="35"/>
      <c r="I157" s="35"/>
      <c r="J157" s="35"/>
      <c r="K157" s="35"/>
      <c r="L157" s="35"/>
      <c r="M157" s="35"/>
      <c r="N157" s="25">
        <v>6864.49</v>
      </c>
      <c r="O157" s="25">
        <v>15745.28</v>
      </c>
      <c r="P157" s="25">
        <v>34223.62</v>
      </c>
      <c r="Q157" s="25"/>
      <c r="R157" s="25">
        <v>24072.85</v>
      </c>
      <c r="S157" s="35"/>
      <c r="T157" s="35"/>
      <c r="U157" s="35"/>
      <c r="V157" s="35"/>
      <c r="W157" s="35"/>
      <c r="X157" s="35"/>
      <c r="Y157" s="35"/>
      <c r="Z157" s="35"/>
      <c r="AA157" s="74"/>
      <c r="AB157" s="70">
        <f aca="true" t="shared" si="80" ref="AB157:AB162">SUM(E157:AA157)</f>
        <v>96264.94</v>
      </c>
    </row>
    <row r="158" spans="1:28" s="1" customFormat="1" ht="12.75">
      <c r="A158" s="8"/>
      <c r="B158" s="107"/>
      <c r="C158" s="96"/>
      <c r="D158" s="9" t="s">
        <v>1</v>
      </c>
      <c r="E158" s="27">
        <f>79875.01+396.42</f>
        <v>80271.43</v>
      </c>
      <c r="F158" s="47"/>
      <c r="G158" s="22"/>
      <c r="H158" s="22"/>
      <c r="I158" s="22"/>
      <c r="J158" s="22"/>
      <c r="K158" s="22"/>
      <c r="L158" s="22"/>
      <c r="M158" s="22"/>
      <c r="N158" s="21">
        <v>22480.29</v>
      </c>
      <c r="O158" s="21">
        <v>98272.01</v>
      </c>
      <c r="P158" s="21">
        <v>182259.83</v>
      </c>
      <c r="Q158" s="21"/>
      <c r="R158" s="21">
        <v>98933.86</v>
      </c>
      <c r="S158" s="22"/>
      <c r="T158" s="22"/>
      <c r="U158" s="22"/>
      <c r="V158" s="22"/>
      <c r="W158" s="22"/>
      <c r="X158" s="22"/>
      <c r="Y158" s="22"/>
      <c r="Z158" s="22"/>
      <c r="AA158" s="68"/>
      <c r="AB158" s="71">
        <f t="shared" si="80"/>
        <v>482217.4199999999</v>
      </c>
    </row>
    <row r="159" spans="1:28" s="1" customFormat="1" ht="12.75">
      <c r="A159" s="8"/>
      <c r="B159" s="107"/>
      <c r="C159" s="96"/>
      <c r="D159" s="9" t="s">
        <v>2</v>
      </c>
      <c r="E159" s="27">
        <v>80115.84</v>
      </c>
      <c r="F159" s="47"/>
      <c r="G159" s="22"/>
      <c r="H159" s="22"/>
      <c r="I159" s="22"/>
      <c r="J159" s="22"/>
      <c r="K159" s="22"/>
      <c r="L159" s="22"/>
      <c r="M159" s="22"/>
      <c r="N159" s="21">
        <v>21481.5</v>
      </c>
      <c r="O159" s="21">
        <v>95692.55</v>
      </c>
      <c r="P159" s="21">
        <v>180076.4</v>
      </c>
      <c r="Q159" s="21"/>
      <c r="R159" s="21">
        <v>92484.51</v>
      </c>
      <c r="S159" s="22"/>
      <c r="T159" s="22"/>
      <c r="U159" s="22"/>
      <c r="V159" s="22"/>
      <c r="W159" s="22"/>
      <c r="X159" s="22"/>
      <c r="Y159" s="22"/>
      <c r="Z159" s="22"/>
      <c r="AA159" s="68"/>
      <c r="AB159" s="72">
        <f t="shared" si="80"/>
        <v>469850.80000000005</v>
      </c>
    </row>
    <row r="160" spans="1:28" s="1" customFormat="1" ht="12.75">
      <c r="A160" s="8"/>
      <c r="B160" s="107"/>
      <c r="C160" s="96"/>
      <c r="D160" s="9" t="s">
        <v>4</v>
      </c>
      <c r="E160" s="21">
        <f>+E158</f>
        <v>80271.43</v>
      </c>
      <c r="F160" s="21"/>
      <c r="G160" s="21"/>
      <c r="H160" s="21"/>
      <c r="I160" s="21"/>
      <c r="J160" s="21"/>
      <c r="K160" s="21"/>
      <c r="L160" s="21"/>
      <c r="M160" s="21"/>
      <c r="N160" s="21">
        <f aca="true" t="shared" si="81" ref="N160:R161">+N158</f>
        <v>22480.29</v>
      </c>
      <c r="O160" s="21">
        <f t="shared" si="81"/>
        <v>98272.01</v>
      </c>
      <c r="P160" s="21">
        <f t="shared" si="81"/>
        <v>182259.83</v>
      </c>
      <c r="Q160" s="21">
        <f t="shared" si="81"/>
        <v>0</v>
      </c>
      <c r="R160" s="21">
        <f t="shared" si="81"/>
        <v>98933.86</v>
      </c>
      <c r="S160" s="21"/>
      <c r="T160" s="21"/>
      <c r="U160" s="21"/>
      <c r="V160" s="21"/>
      <c r="W160" s="21"/>
      <c r="X160" s="21"/>
      <c r="Y160" s="21"/>
      <c r="Z160" s="21"/>
      <c r="AA160" s="67"/>
      <c r="AB160" s="71">
        <f t="shared" si="80"/>
        <v>482217.4199999999</v>
      </c>
    </row>
    <row r="161" spans="1:28" s="1" customFormat="1" ht="12.75">
      <c r="A161" s="8"/>
      <c r="B161" s="107"/>
      <c r="C161" s="96"/>
      <c r="D161" s="9" t="s">
        <v>3</v>
      </c>
      <c r="E161" s="22">
        <f>+E159</f>
        <v>80115.84</v>
      </c>
      <c r="F161" s="47"/>
      <c r="G161" s="22"/>
      <c r="H161" s="22"/>
      <c r="I161" s="22"/>
      <c r="J161" s="22"/>
      <c r="K161" s="22"/>
      <c r="L161" s="22"/>
      <c r="M161" s="22"/>
      <c r="N161" s="22">
        <f t="shared" si="81"/>
        <v>21481.5</v>
      </c>
      <c r="O161" s="22">
        <f>O160+O157</f>
        <v>114017.29</v>
      </c>
      <c r="P161" s="22">
        <f t="shared" si="81"/>
        <v>180076.4</v>
      </c>
      <c r="Q161" s="22">
        <f t="shared" si="81"/>
        <v>0</v>
      </c>
      <c r="R161" s="22">
        <f t="shared" si="81"/>
        <v>92484.51</v>
      </c>
      <c r="S161" s="22"/>
      <c r="T161" s="22"/>
      <c r="U161" s="22"/>
      <c r="V161" s="22"/>
      <c r="W161" s="22"/>
      <c r="X161" s="22"/>
      <c r="Y161" s="22"/>
      <c r="Z161" s="22"/>
      <c r="AA161" s="68"/>
      <c r="AB161" s="71">
        <f t="shared" si="80"/>
        <v>488175.54000000004</v>
      </c>
    </row>
    <row r="162" spans="1:28" s="1" customFormat="1" ht="13.5" thickBot="1">
      <c r="A162" s="8"/>
      <c r="B162" s="159"/>
      <c r="C162" s="97"/>
      <c r="D162" s="13" t="s">
        <v>83</v>
      </c>
      <c r="E162" s="23">
        <f>E157+E158-E159</f>
        <v>15514.289999999994</v>
      </c>
      <c r="F162" s="41">
        <f aca="true" t="shared" si="82" ref="F162:M162">F157+F158-F159</f>
        <v>0</v>
      </c>
      <c r="G162" s="23">
        <f t="shared" si="82"/>
        <v>0</v>
      </c>
      <c r="H162" s="23">
        <f t="shared" si="82"/>
        <v>0</v>
      </c>
      <c r="I162" s="23">
        <f t="shared" si="82"/>
        <v>0</v>
      </c>
      <c r="J162" s="23">
        <f t="shared" si="82"/>
        <v>0</v>
      </c>
      <c r="K162" s="23">
        <f t="shared" si="82"/>
        <v>0</v>
      </c>
      <c r="L162" s="23">
        <f t="shared" si="82"/>
        <v>0</v>
      </c>
      <c r="M162" s="23">
        <f t="shared" si="82"/>
        <v>0</v>
      </c>
      <c r="N162" s="23">
        <f>N157+N158-N159</f>
        <v>7863.279999999999</v>
      </c>
      <c r="O162" s="23">
        <f>O157+O158-O159</f>
        <v>18324.73999999999</v>
      </c>
      <c r="P162" s="23">
        <f>P157+P158-P159</f>
        <v>36407.04999999999</v>
      </c>
      <c r="Q162" s="23"/>
      <c r="R162" s="23">
        <f>R157+R158-R159</f>
        <v>30522.199999999997</v>
      </c>
      <c r="S162" s="23"/>
      <c r="T162" s="23"/>
      <c r="U162" s="23"/>
      <c r="V162" s="23"/>
      <c r="W162" s="23"/>
      <c r="X162" s="23"/>
      <c r="Y162" s="23"/>
      <c r="Z162" s="23"/>
      <c r="AA162" s="69"/>
      <c r="AB162" s="73">
        <f t="shared" si="80"/>
        <v>108631.55999999997</v>
      </c>
    </row>
    <row r="163" spans="1:28" s="4" customFormat="1" ht="12.75" customHeight="1">
      <c r="A163" s="143">
        <v>25</v>
      </c>
      <c r="B163" s="130" t="s">
        <v>36</v>
      </c>
      <c r="C163" s="125" t="s">
        <v>30</v>
      </c>
      <c r="D163" s="14" t="s">
        <v>84</v>
      </c>
      <c r="E163" s="26">
        <v>310933.52</v>
      </c>
      <c r="F163" s="20">
        <f>13676.51-2931.04</f>
        <v>10745.470000000001</v>
      </c>
      <c r="G163" s="20">
        <f>34708.47-199.25</f>
        <v>34509.22</v>
      </c>
      <c r="H163" s="26">
        <f>88059.55-2.4-295.63</f>
        <v>87761.52</v>
      </c>
      <c r="I163" s="20">
        <f>24821.02-1.16</f>
        <v>24819.86</v>
      </c>
      <c r="J163" s="20">
        <f>20153.35-9.14-168.87</f>
        <v>19975.34</v>
      </c>
      <c r="K163" s="20">
        <f>-34586.49-315.43</f>
        <v>-34901.92</v>
      </c>
      <c r="L163" s="20">
        <f>27080.79-2.34-4164.28</f>
        <v>22914.170000000002</v>
      </c>
      <c r="M163" s="20">
        <v>25771.17</v>
      </c>
      <c r="N163" s="20">
        <v>59032.01</v>
      </c>
      <c r="O163" s="26">
        <f>59872.97-9694.25-437.16</f>
        <v>49741.56</v>
      </c>
      <c r="P163" s="26">
        <f>166823.03-5.71-9475.27</f>
        <v>157342.05000000002</v>
      </c>
      <c r="Q163" s="26">
        <v>37164.66</v>
      </c>
      <c r="R163" s="26">
        <f>87844.08-4078.9</f>
        <v>83765.18000000001</v>
      </c>
      <c r="S163" s="26">
        <f>30915.92-3550.26</f>
        <v>27365.659999999996</v>
      </c>
      <c r="T163" s="26">
        <f>28714.79-880.06</f>
        <v>27834.73</v>
      </c>
      <c r="U163" s="26">
        <f>32506.34-2009.11</f>
        <v>30497.23</v>
      </c>
      <c r="V163" s="26">
        <f>89333.4-7068.72-4037.63</f>
        <v>78227.04999999999</v>
      </c>
      <c r="W163" s="26">
        <f>51195.56-734.44</f>
        <v>50461.119999999995</v>
      </c>
      <c r="X163" s="26">
        <f>72754.26-1613.39-2.14</f>
        <v>71138.73</v>
      </c>
      <c r="Y163" s="20">
        <f>145069.68-2586.8-13.2</f>
        <v>142469.68</v>
      </c>
      <c r="Z163" s="20">
        <f>86059.81-3550.22</f>
        <v>82509.59</v>
      </c>
      <c r="AA163" s="77">
        <v>3201.23</v>
      </c>
      <c r="AB163" s="79">
        <f aca="true" t="shared" si="83" ref="AB163:AB168">SUM(E163:AA163)</f>
        <v>1403278.83</v>
      </c>
    </row>
    <row r="164" spans="1:28" s="4" customFormat="1" ht="12.75">
      <c r="A164" s="143"/>
      <c r="B164" s="131"/>
      <c r="C164" s="126"/>
      <c r="D164" s="9" t="s">
        <v>1</v>
      </c>
      <c r="E164" s="27">
        <v>1187491.87</v>
      </c>
      <c r="F164" s="21">
        <f>472744.16+2931.04</f>
        <v>475675.19999999995</v>
      </c>
      <c r="G164" s="21">
        <f>537584.44+199.25</f>
        <v>537783.69</v>
      </c>
      <c r="H164" s="27">
        <f>614261.25+2.4+295.63</f>
        <v>614559.28</v>
      </c>
      <c r="I164" s="21">
        <f>299353.7+1.16</f>
        <v>299354.86</v>
      </c>
      <c r="J164" s="21">
        <f>124246.63+9.14+168.87</f>
        <v>124424.64</v>
      </c>
      <c r="K164" s="21">
        <f>134009.62+315.43</f>
        <v>134325.05</v>
      </c>
      <c r="L164" s="21">
        <f>403834.81+2.34+4164.28</f>
        <v>408001.43000000005</v>
      </c>
      <c r="M164" s="21">
        <v>130729.37</v>
      </c>
      <c r="N164" s="21">
        <v>217246.03</v>
      </c>
      <c r="O164" s="27">
        <f>437.16+824188.89+9694.25</f>
        <v>834320.3</v>
      </c>
      <c r="P164" s="27">
        <f>1573276.37+5.71+9475.27</f>
        <v>1582757.35</v>
      </c>
      <c r="Q164" s="27">
        <v>222972.63</v>
      </c>
      <c r="R164" s="27">
        <f>778792.01+4078.9</f>
        <v>782870.91</v>
      </c>
      <c r="S164" s="27">
        <f>213854.28+3550.26</f>
        <v>217404.54</v>
      </c>
      <c r="T164" s="27">
        <f>221965.81+880.06</f>
        <v>222845.87</v>
      </c>
      <c r="U164" s="27">
        <f>150947.63+2009.11</f>
        <v>152956.74</v>
      </c>
      <c r="V164" s="27">
        <f>421144.23+7068.72+4037.63</f>
        <v>432250.57999999996</v>
      </c>
      <c r="W164" s="27">
        <f>394346.18+734.44</f>
        <v>395080.62</v>
      </c>
      <c r="X164" s="27">
        <f>2.14+409929.73+1613.39</f>
        <v>411545.26</v>
      </c>
      <c r="Y164" s="21">
        <f>13.2+462615.6+2586.8</f>
        <v>465215.6</v>
      </c>
      <c r="Z164" s="21">
        <f>555170.76+3550.22</f>
        <v>558720.98</v>
      </c>
      <c r="AA164" s="67">
        <v>470356.79</v>
      </c>
      <c r="AB164" s="80">
        <f t="shared" si="83"/>
        <v>10878889.589999998</v>
      </c>
    </row>
    <row r="165" spans="1:28" s="4" customFormat="1" ht="12.75">
      <c r="A165" s="143"/>
      <c r="B165" s="131"/>
      <c r="C165" s="126"/>
      <c r="D165" s="9" t="s">
        <v>2</v>
      </c>
      <c r="E165" s="27">
        <v>1105556.71</v>
      </c>
      <c r="F165" s="21">
        <v>471081.18</v>
      </c>
      <c r="G165" s="21">
        <v>536136.21</v>
      </c>
      <c r="H165" s="27">
        <v>569397.4</v>
      </c>
      <c r="I165" s="21">
        <v>290086.15</v>
      </c>
      <c r="J165" s="21">
        <v>116068.2</v>
      </c>
      <c r="K165" s="21">
        <v>103896.12</v>
      </c>
      <c r="L165" s="21">
        <v>422642.65</v>
      </c>
      <c r="M165" s="21">
        <v>138789.88</v>
      </c>
      <c r="N165" s="21">
        <v>201527.07</v>
      </c>
      <c r="O165" s="27">
        <v>777665.41</v>
      </c>
      <c r="P165" s="27">
        <v>1547648.83</v>
      </c>
      <c r="Q165" s="27">
        <v>168730.4</v>
      </c>
      <c r="R165" s="27">
        <v>746589.01</v>
      </c>
      <c r="S165" s="27">
        <v>215146.25</v>
      </c>
      <c r="T165" s="27">
        <v>226435.44</v>
      </c>
      <c r="U165" s="27">
        <v>137532.55</v>
      </c>
      <c r="V165" s="27">
        <v>397540.63</v>
      </c>
      <c r="W165" s="27">
        <v>410629.2</v>
      </c>
      <c r="X165" s="27">
        <v>420647.33</v>
      </c>
      <c r="Y165" s="21">
        <v>413898.9</v>
      </c>
      <c r="Z165" s="21">
        <v>526832.03</v>
      </c>
      <c r="AA165" s="67">
        <v>464635.32</v>
      </c>
      <c r="AB165" s="81">
        <f t="shared" si="83"/>
        <v>10409112.87</v>
      </c>
    </row>
    <row r="166" spans="1:28" s="4" customFormat="1" ht="12.75">
      <c r="A166" s="143"/>
      <c r="B166" s="131"/>
      <c r="C166" s="126"/>
      <c r="D166" s="9" t="s">
        <v>4</v>
      </c>
      <c r="E166" s="21">
        <f>+E164</f>
        <v>1187491.87</v>
      </c>
      <c r="F166" s="21">
        <f aca="true" t="shared" si="84" ref="F166:AA166">+F164</f>
        <v>475675.19999999995</v>
      </c>
      <c r="G166" s="21">
        <f t="shared" si="84"/>
        <v>537783.69</v>
      </c>
      <c r="H166" s="21">
        <f t="shared" si="84"/>
        <v>614559.28</v>
      </c>
      <c r="I166" s="21">
        <f t="shared" si="84"/>
        <v>299354.86</v>
      </c>
      <c r="J166" s="21">
        <f t="shared" si="84"/>
        <v>124424.64</v>
      </c>
      <c r="K166" s="21">
        <f t="shared" si="84"/>
        <v>134325.05</v>
      </c>
      <c r="L166" s="21">
        <f t="shared" si="84"/>
        <v>408001.43000000005</v>
      </c>
      <c r="M166" s="21">
        <f t="shared" si="84"/>
        <v>130729.37</v>
      </c>
      <c r="N166" s="21">
        <f t="shared" si="84"/>
        <v>217246.03</v>
      </c>
      <c r="O166" s="21">
        <f t="shared" si="84"/>
        <v>834320.3</v>
      </c>
      <c r="P166" s="21">
        <f>+P164</f>
        <v>1582757.35</v>
      </c>
      <c r="Q166" s="21">
        <f t="shared" si="84"/>
        <v>222972.63</v>
      </c>
      <c r="R166" s="21">
        <f t="shared" si="84"/>
        <v>782870.91</v>
      </c>
      <c r="S166" s="21">
        <f t="shared" si="84"/>
        <v>217404.54</v>
      </c>
      <c r="T166" s="21">
        <f t="shared" si="84"/>
        <v>222845.87</v>
      </c>
      <c r="U166" s="21">
        <f t="shared" si="84"/>
        <v>152956.74</v>
      </c>
      <c r="V166" s="21">
        <f t="shared" si="84"/>
        <v>432250.57999999996</v>
      </c>
      <c r="W166" s="21">
        <f t="shared" si="84"/>
        <v>395080.62</v>
      </c>
      <c r="X166" s="21">
        <f t="shared" si="84"/>
        <v>411545.26</v>
      </c>
      <c r="Y166" s="21">
        <f t="shared" si="84"/>
        <v>465215.6</v>
      </c>
      <c r="Z166" s="21">
        <f t="shared" si="84"/>
        <v>558720.98</v>
      </c>
      <c r="AA166" s="67">
        <f t="shared" si="84"/>
        <v>470356.79</v>
      </c>
      <c r="AB166" s="80">
        <f t="shared" si="83"/>
        <v>10878889.589999998</v>
      </c>
    </row>
    <row r="167" spans="1:28" s="4" customFormat="1" ht="12.75">
      <c r="A167" s="143"/>
      <c r="B167" s="131"/>
      <c r="C167" s="126"/>
      <c r="D167" s="9" t="s">
        <v>3</v>
      </c>
      <c r="E167" s="22">
        <v>1201477.04</v>
      </c>
      <c r="F167" s="22">
        <f>F166+F163</f>
        <v>486420.6699999999</v>
      </c>
      <c r="G167" s="22">
        <f>G166+G163</f>
        <v>572292.9099999999</v>
      </c>
      <c r="H167" s="22">
        <f aca="true" t="shared" si="85" ref="H167:Z167">+H165</f>
        <v>569397.4</v>
      </c>
      <c r="I167" s="22">
        <f>I166+I163</f>
        <v>324174.72</v>
      </c>
      <c r="J167" s="22">
        <f>J166+J163</f>
        <v>144399.98</v>
      </c>
      <c r="K167" s="22">
        <f t="shared" si="85"/>
        <v>103896.12</v>
      </c>
      <c r="L167" s="22">
        <f>L166+L163</f>
        <v>430915.60000000003</v>
      </c>
      <c r="M167" s="22">
        <f t="shared" si="85"/>
        <v>138789.88</v>
      </c>
      <c r="N167" s="22">
        <v>201941.08</v>
      </c>
      <c r="O167" s="22">
        <f>O166+O163</f>
        <v>884061.8600000001</v>
      </c>
      <c r="P167" s="22">
        <v>1621655.37</v>
      </c>
      <c r="Q167" s="22">
        <f t="shared" si="85"/>
        <v>168730.4</v>
      </c>
      <c r="R167" s="22">
        <f t="shared" si="85"/>
        <v>746589.01</v>
      </c>
      <c r="S167" s="22">
        <f>S166+S163</f>
        <v>244770.2</v>
      </c>
      <c r="T167" s="22">
        <f>T166+T163</f>
        <v>250680.6</v>
      </c>
      <c r="U167" s="22">
        <f t="shared" si="85"/>
        <v>137532.55</v>
      </c>
      <c r="V167" s="22">
        <f t="shared" si="85"/>
        <v>397540.63</v>
      </c>
      <c r="W167" s="22">
        <f t="shared" si="85"/>
        <v>410629.2</v>
      </c>
      <c r="X167" s="22">
        <f t="shared" si="85"/>
        <v>420647.33</v>
      </c>
      <c r="Y167" s="22">
        <f t="shared" si="85"/>
        <v>413898.9</v>
      </c>
      <c r="Z167" s="22">
        <f t="shared" si="85"/>
        <v>526832.03</v>
      </c>
      <c r="AA167" s="22">
        <f>AA166+AA163</f>
        <v>473558.01999999996</v>
      </c>
      <c r="AB167" s="82">
        <f t="shared" si="83"/>
        <v>10870831.5</v>
      </c>
    </row>
    <row r="168" spans="1:28" s="1" customFormat="1" ht="13.5" thickBot="1">
      <c r="A168" s="145"/>
      <c r="B168" s="132"/>
      <c r="C168" s="128"/>
      <c r="D168" s="13" t="s">
        <v>83</v>
      </c>
      <c r="E168" s="30">
        <f>E163+E164-E165</f>
        <v>392868.68000000017</v>
      </c>
      <c r="F168" s="42">
        <f aca="true" t="shared" si="86" ref="F168:AA168">F163+F164-F165</f>
        <v>15339.489999999932</v>
      </c>
      <c r="G168" s="30">
        <f>G163+G164-G165</f>
        <v>36156.69999999995</v>
      </c>
      <c r="H168" s="30">
        <f t="shared" si="86"/>
        <v>132923.40000000002</v>
      </c>
      <c r="I168" s="30">
        <f t="shared" si="86"/>
        <v>34088.56999999995</v>
      </c>
      <c r="J168" s="30">
        <f t="shared" si="86"/>
        <v>28331.780000000013</v>
      </c>
      <c r="K168" s="30">
        <f t="shared" si="86"/>
        <v>-4472.990000000005</v>
      </c>
      <c r="L168" s="30">
        <f t="shared" si="86"/>
        <v>8272.950000000012</v>
      </c>
      <c r="M168" s="30">
        <f t="shared" si="86"/>
        <v>17710.659999999974</v>
      </c>
      <c r="N168" s="30">
        <f t="shared" si="86"/>
        <v>74750.96999999997</v>
      </c>
      <c r="O168" s="30">
        <f t="shared" si="86"/>
        <v>106396.45000000007</v>
      </c>
      <c r="P168" s="30">
        <f>P163+P164-P165</f>
        <v>192450.57000000007</v>
      </c>
      <c r="Q168" s="30">
        <f t="shared" si="86"/>
        <v>91406.89000000001</v>
      </c>
      <c r="R168" s="30">
        <f t="shared" si="86"/>
        <v>120047.08000000007</v>
      </c>
      <c r="S168" s="30">
        <f>S163+S164-S165</f>
        <v>29623.95000000001</v>
      </c>
      <c r="T168" s="30">
        <f>T163+T164-T165</f>
        <v>24245.160000000003</v>
      </c>
      <c r="U168" s="30">
        <f t="shared" si="86"/>
        <v>45921.42000000001</v>
      </c>
      <c r="V168" s="30">
        <f>V163+V164-V165</f>
        <v>112936.99999999994</v>
      </c>
      <c r="W168" s="30">
        <f>W163+W164-W165</f>
        <v>34912.53999999998</v>
      </c>
      <c r="X168" s="30">
        <f>X163+X164-X165</f>
        <v>62036.659999999974</v>
      </c>
      <c r="Y168" s="30">
        <f>Y163+Y164-Y165</f>
        <v>193786.38</v>
      </c>
      <c r="Z168" s="30">
        <f t="shared" si="86"/>
        <v>114398.53999999992</v>
      </c>
      <c r="AA168" s="78">
        <f t="shared" si="86"/>
        <v>8922.699999999953</v>
      </c>
      <c r="AB168" s="83">
        <f t="shared" si="83"/>
        <v>1873055.55</v>
      </c>
    </row>
    <row r="169" spans="1:28" s="4" customFormat="1" ht="12.75">
      <c r="A169" s="99" t="s">
        <v>55</v>
      </c>
      <c r="B169" s="100"/>
      <c r="C169" s="100"/>
      <c r="D169" s="100"/>
      <c r="E169" s="31"/>
      <c r="F169" s="57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1"/>
      <c r="T169" s="31"/>
      <c r="U169" s="31"/>
      <c r="V169" s="31"/>
      <c r="W169" s="31"/>
      <c r="X169" s="31"/>
      <c r="Y169" s="31"/>
      <c r="Z169" s="31"/>
      <c r="AA169" s="60"/>
      <c r="AB169" s="65"/>
    </row>
    <row r="170" spans="1:28" s="4" customFormat="1" ht="12.75">
      <c r="A170" s="101"/>
      <c r="B170" s="102"/>
      <c r="C170" s="102"/>
      <c r="D170" s="10" t="s">
        <v>84</v>
      </c>
      <c r="E170" s="32">
        <f aca="true" t="shared" si="87" ref="E170:E175">+E97+E103+E109+E115+E121+E127+E133+E139+E145+E151+E157+E163</f>
        <v>895396.83</v>
      </c>
      <c r="F170" s="32">
        <f aca="true" t="shared" si="88" ref="F170:AB175">+F97+F103+F109+F115+F121+F127+F133+F139+F145+F151+F157+F163</f>
        <v>79145.69000000002</v>
      </c>
      <c r="G170" s="32">
        <f t="shared" si="88"/>
        <v>159200.19</v>
      </c>
      <c r="H170" s="32">
        <f t="shared" si="88"/>
        <v>386374.17</v>
      </c>
      <c r="I170" s="32">
        <f t="shared" si="88"/>
        <v>164270.03999999998</v>
      </c>
      <c r="J170" s="32">
        <f t="shared" si="88"/>
        <v>74040.95999999999</v>
      </c>
      <c r="K170" s="32">
        <f t="shared" si="88"/>
        <v>117057.90999999999</v>
      </c>
      <c r="L170" s="32">
        <f t="shared" si="88"/>
        <v>69997.36</v>
      </c>
      <c r="M170" s="32">
        <f t="shared" si="88"/>
        <v>64122.17</v>
      </c>
      <c r="N170" s="32">
        <f t="shared" si="88"/>
        <v>201026.18</v>
      </c>
      <c r="O170" s="32">
        <f t="shared" si="88"/>
        <v>572900.13</v>
      </c>
      <c r="P170" s="32">
        <f t="shared" si="88"/>
        <v>1092266.96</v>
      </c>
      <c r="Q170" s="32">
        <f t="shared" si="88"/>
        <v>94433.97200000001</v>
      </c>
      <c r="R170" s="32">
        <f t="shared" si="88"/>
        <v>663753.41</v>
      </c>
      <c r="S170" s="32">
        <f t="shared" si="88"/>
        <v>110130.927</v>
      </c>
      <c r="T170" s="32">
        <f t="shared" si="88"/>
        <v>85939.20000000001</v>
      </c>
      <c r="U170" s="32">
        <f t="shared" si="88"/>
        <v>125956.38</v>
      </c>
      <c r="V170" s="32">
        <f t="shared" si="88"/>
        <v>297868.08999999997</v>
      </c>
      <c r="W170" s="32">
        <f t="shared" si="88"/>
        <v>169613.55000000002</v>
      </c>
      <c r="X170" s="32">
        <f t="shared" si="88"/>
        <v>229422.56</v>
      </c>
      <c r="Y170" s="32">
        <f t="shared" si="88"/>
        <v>392536.78</v>
      </c>
      <c r="Z170" s="32">
        <f t="shared" si="88"/>
        <v>268425.15</v>
      </c>
      <c r="AA170" s="61">
        <f t="shared" si="88"/>
        <v>59483.88999999999</v>
      </c>
      <c r="AB170" s="63">
        <f t="shared" si="88"/>
        <v>6373362.499000002</v>
      </c>
    </row>
    <row r="171" spans="1:28" s="4" customFormat="1" ht="12.75">
      <c r="A171" s="101"/>
      <c r="B171" s="102"/>
      <c r="C171" s="102"/>
      <c r="D171" s="10" t="s">
        <v>1</v>
      </c>
      <c r="E171" s="32">
        <f t="shared" si="87"/>
        <v>3413262.7399999998</v>
      </c>
      <c r="F171" s="32">
        <f aca="true" t="shared" si="89" ref="F171:T171">+F98+F104+F110+F116+F122+F128+F134+F140+F146+F152+F158+F164</f>
        <v>1548388.2299999997</v>
      </c>
      <c r="G171" s="32">
        <f t="shared" si="89"/>
        <v>1641138.3099999998</v>
      </c>
      <c r="H171" s="32">
        <f t="shared" si="89"/>
        <v>1744901.19</v>
      </c>
      <c r="I171" s="32">
        <f t="shared" si="89"/>
        <v>1190185.89</v>
      </c>
      <c r="J171" s="32">
        <f t="shared" si="89"/>
        <v>406671.7200000001</v>
      </c>
      <c r="K171" s="32">
        <f t="shared" si="89"/>
        <v>404408.80999999994</v>
      </c>
      <c r="L171" s="32">
        <f t="shared" si="89"/>
        <v>1686363.38</v>
      </c>
      <c r="M171" s="32">
        <f t="shared" si="89"/>
        <v>407725.1</v>
      </c>
      <c r="N171" s="32">
        <f t="shared" si="89"/>
        <v>695648.82</v>
      </c>
      <c r="O171" s="32">
        <f t="shared" si="89"/>
        <v>3618166.7399999993</v>
      </c>
      <c r="P171" s="32">
        <f t="shared" si="89"/>
        <v>6701264.390000001</v>
      </c>
      <c r="Q171" s="32">
        <f t="shared" si="89"/>
        <v>616133.48</v>
      </c>
      <c r="R171" s="32">
        <f t="shared" si="89"/>
        <v>3562301.9</v>
      </c>
      <c r="S171" s="32">
        <f t="shared" si="89"/>
        <v>708824.59</v>
      </c>
      <c r="T171" s="32">
        <f t="shared" si="89"/>
        <v>716037.23</v>
      </c>
      <c r="U171" s="32">
        <f t="shared" si="88"/>
        <v>545476.69</v>
      </c>
      <c r="V171" s="32">
        <f t="shared" si="88"/>
        <v>1475135.75</v>
      </c>
      <c r="W171" s="32">
        <f t="shared" si="88"/>
        <v>1448229.8199999998</v>
      </c>
      <c r="X171" s="32">
        <f t="shared" si="88"/>
        <v>1461883.15</v>
      </c>
      <c r="Y171" s="32">
        <f t="shared" si="88"/>
        <v>1502461.08</v>
      </c>
      <c r="Z171" s="32">
        <f t="shared" si="88"/>
        <v>1704918.43</v>
      </c>
      <c r="AA171" s="61">
        <f t="shared" si="88"/>
        <v>1545284.18</v>
      </c>
      <c r="AB171" s="63">
        <f t="shared" si="88"/>
        <v>38744811.620000005</v>
      </c>
    </row>
    <row r="172" spans="1:28" s="4" customFormat="1" ht="12.75">
      <c r="A172" s="101"/>
      <c r="B172" s="102"/>
      <c r="C172" s="102"/>
      <c r="D172" s="10" t="s">
        <v>2</v>
      </c>
      <c r="E172" s="32">
        <f t="shared" si="87"/>
        <v>3332308.15</v>
      </c>
      <c r="F172" s="32">
        <f t="shared" si="88"/>
        <v>1525751.1199999999</v>
      </c>
      <c r="G172" s="32">
        <f t="shared" si="88"/>
        <v>1615314.92</v>
      </c>
      <c r="H172" s="32">
        <f t="shared" si="88"/>
        <v>1682099.21</v>
      </c>
      <c r="I172" s="32">
        <f t="shared" si="88"/>
        <v>1176519.22</v>
      </c>
      <c r="J172" s="32">
        <f t="shared" si="88"/>
        <v>395414.10000000003</v>
      </c>
      <c r="K172" s="32">
        <f t="shared" si="88"/>
        <v>342756.20999999996</v>
      </c>
      <c r="L172" s="32">
        <f t="shared" si="88"/>
        <v>1665086.2800000003</v>
      </c>
      <c r="M172" s="32">
        <f t="shared" si="88"/>
        <v>419435.3</v>
      </c>
      <c r="N172" s="32">
        <f t="shared" si="88"/>
        <v>658302.13</v>
      </c>
      <c r="O172" s="32">
        <f t="shared" si="88"/>
        <v>3498956.5700000003</v>
      </c>
      <c r="P172" s="32">
        <f t="shared" si="88"/>
        <v>6763961.9</v>
      </c>
      <c r="Q172" s="32">
        <f t="shared" si="88"/>
        <v>484070.75</v>
      </c>
      <c r="R172" s="32">
        <f t="shared" si="88"/>
        <v>3397406.51</v>
      </c>
      <c r="S172" s="32">
        <f t="shared" si="88"/>
        <v>722757.17</v>
      </c>
      <c r="T172" s="32">
        <f t="shared" si="88"/>
        <v>730944.19</v>
      </c>
      <c r="U172" s="32">
        <f t="shared" si="88"/>
        <v>519904.76</v>
      </c>
      <c r="V172" s="32">
        <f t="shared" si="88"/>
        <v>1396772.75</v>
      </c>
      <c r="W172" s="32">
        <f t="shared" si="88"/>
        <v>1453632.77</v>
      </c>
      <c r="X172" s="32">
        <f t="shared" si="88"/>
        <v>1456538.59</v>
      </c>
      <c r="Y172" s="32">
        <f t="shared" si="88"/>
        <v>1453531.55</v>
      </c>
      <c r="Z172" s="32">
        <f t="shared" si="88"/>
        <v>1652670.4300000002</v>
      </c>
      <c r="AA172" s="61">
        <f t="shared" si="88"/>
        <v>1518277.8699999999</v>
      </c>
      <c r="AB172" s="63">
        <f t="shared" si="88"/>
        <v>37862412.45</v>
      </c>
    </row>
    <row r="173" spans="1:28" s="4" customFormat="1" ht="12.75">
      <c r="A173" s="101"/>
      <c r="B173" s="102"/>
      <c r="C173" s="102"/>
      <c r="D173" s="10" t="s">
        <v>4</v>
      </c>
      <c r="E173" s="32">
        <f t="shared" si="87"/>
        <v>2952139.01</v>
      </c>
      <c r="F173" s="32">
        <f t="shared" si="88"/>
        <v>1375604.9999999998</v>
      </c>
      <c r="G173" s="32">
        <f t="shared" si="88"/>
        <v>1391894.4</v>
      </c>
      <c r="H173" s="32">
        <f t="shared" si="88"/>
        <v>1659423.3699999999</v>
      </c>
      <c r="I173" s="32">
        <f t="shared" si="88"/>
        <v>1018812.5499999998</v>
      </c>
      <c r="J173" s="32">
        <f t="shared" si="88"/>
        <v>324405.85000000003</v>
      </c>
      <c r="K173" s="32">
        <f t="shared" si="88"/>
        <v>324236.23</v>
      </c>
      <c r="L173" s="32">
        <f t="shared" si="88"/>
        <v>1479980.1800000002</v>
      </c>
      <c r="M173" s="32">
        <f t="shared" si="88"/>
        <v>390574.29</v>
      </c>
      <c r="N173" s="32">
        <f t="shared" si="88"/>
        <v>610674.48</v>
      </c>
      <c r="O173" s="32">
        <f t="shared" si="88"/>
        <v>3029460.54</v>
      </c>
      <c r="P173" s="32">
        <f t="shared" si="88"/>
        <v>6183342.73</v>
      </c>
      <c r="Q173" s="32">
        <f t="shared" si="88"/>
        <v>594663.74</v>
      </c>
      <c r="R173" s="32">
        <f t="shared" si="88"/>
        <v>4533202.709999999</v>
      </c>
      <c r="S173" s="32">
        <f t="shared" si="88"/>
        <v>591386.0700000001</v>
      </c>
      <c r="T173" s="32">
        <f t="shared" si="88"/>
        <v>639407.9299999999</v>
      </c>
      <c r="U173" s="32">
        <f t="shared" si="88"/>
        <v>546523.2</v>
      </c>
      <c r="V173" s="32">
        <f t="shared" si="88"/>
        <v>2059669.25</v>
      </c>
      <c r="W173" s="32">
        <f t="shared" si="88"/>
        <v>1926347.9500000002</v>
      </c>
      <c r="X173" s="32">
        <f t="shared" si="88"/>
        <v>1521934.45</v>
      </c>
      <c r="Y173" s="32">
        <f t="shared" si="88"/>
        <v>1428668.59</v>
      </c>
      <c r="Z173" s="32">
        <f t="shared" si="88"/>
        <v>1603416.1099999999</v>
      </c>
      <c r="AA173" s="61">
        <f t="shared" si="88"/>
        <v>1440204.28</v>
      </c>
      <c r="AB173" s="63">
        <f t="shared" si="88"/>
        <v>37625972.91</v>
      </c>
    </row>
    <row r="174" spans="1:28" s="4" customFormat="1" ht="12.75">
      <c r="A174" s="101"/>
      <c r="B174" s="102"/>
      <c r="C174" s="102"/>
      <c r="D174" s="10" t="s">
        <v>3</v>
      </c>
      <c r="E174" s="32">
        <f t="shared" si="87"/>
        <v>3332308.1500000004</v>
      </c>
      <c r="F174" s="32">
        <f t="shared" si="88"/>
        <v>1454080.0899999999</v>
      </c>
      <c r="G174" s="32">
        <f t="shared" si="88"/>
        <v>1549871.3899999997</v>
      </c>
      <c r="H174" s="32">
        <f t="shared" si="88"/>
        <v>1682099.21</v>
      </c>
      <c r="I174" s="32">
        <f t="shared" si="88"/>
        <v>1176519.2199999997</v>
      </c>
      <c r="J174" s="32">
        <f t="shared" si="88"/>
        <v>395414.1</v>
      </c>
      <c r="K174" s="32">
        <f t="shared" si="88"/>
        <v>342756.20999999996</v>
      </c>
      <c r="L174" s="32">
        <f t="shared" si="88"/>
        <v>1566330.3099999998</v>
      </c>
      <c r="M174" s="32">
        <f t="shared" si="88"/>
        <v>419435.3</v>
      </c>
      <c r="N174" s="32">
        <f t="shared" si="88"/>
        <v>658302.13</v>
      </c>
      <c r="O174" s="32">
        <f t="shared" si="88"/>
        <v>3498956.5700000003</v>
      </c>
      <c r="P174" s="32">
        <f t="shared" si="88"/>
        <v>6763961.9</v>
      </c>
      <c r="Q174" s="32">
        <f t="shared" si="88"/>
        <v>484070.75</v>
      </c>
      <c r="R174" s="32">
        <f t="shared" si="88"/>
        <v>3397406.51</v>
      </c>
      <c r="S174" s="32">
        <f t="shared" si="88"/>
        <v>698112.9770000001</v>
      </c>
      <c r="T174" s="32">
        <f t="shared" si="88"/>
        <v>724643.47</v>
      </c>
      <c r="U174" s="32">
        <f t="shared" si="88"/>
        <v>519904.76</v>
      </c>
      <c r="V174" s="32">
        <f t="shared" si="88"/>
        <v>1396772.75</v>
      </c>
      <c r="W174" s="32">
        <f t="shared" si="88"/>
        <v>1453632.77</v>
      </c>
      <c r="X174" s="32">
        <f t="shared" si="88"/>
        <v>1456538.59</v>
      </c>
      <c r="Y174" s="32">
        <f t="shared" si="88"/>
        <v>1453531.55</v>
      </c>
      <c r="Z174" s="32">
        <f t="shared" si="88"/>
        <v>1652670.4300000002</v>
      </c>
      <c r="AA174" s="61">
        <f t="shared" si="88"/>
        <v>1495947.42</v>
      </c>
      <c r="AB174" s="63">
        <f t="shared" si="88"/>
        <v>37573266.557</v>
      </c>
    </row>
    <row r="175" spans="1:29" s="1" customFormat="1" ht="13.5" thickBot="1">
      <c r="A175" s="103"/>
      <c r="B175" s="104"/>
      <c r="C175" s="104"/>
      <c r="D175" s="12" t="s">
        <v>83</v>
      </c>
      <c r="E175" s="33">
        <f t="shared" si="87"/>
        <v>976351.4200000003</v>
      </c>
      <c r="F175" s="33">
        <f t="shared" si="88"/>
        <v>101782.79999999996</v>
      </c>
      <c r="G175" s="33">
        <f t="shared" si="88"/>
        <v>185023.57999999993</v>
      </c>
      <c r="H175" s="33">
        <f t="shared" si="88"/>
        <v>449176.15</v>
      </c>
      <c r="I175" s="33">
        <f t="shared" si="88"/>
        <v>177936.71000000008</v>
      </c>
      <c r="J175" s="33">
        <f t="shared" si="88"/>
        <v>85298.58000000002</v>
      </c>
      <c r="K175" s="33">
        <f t="shared" si="88"/>
        <v>178710.50999999995</v>
      </c>
      <c r="L175" s="33">
        <f t="shared" si="88"/>
        <v>91274.4600000001</v>
      </c>
      <c r="M175" s="33">
        <f t="shared" si="88"/>
        <v>52411.96999999996</v>
      </c>
      <c r="N175" s="33">
        <f t="shared" si="88"/>
        <v>238372.86999999997</v>
      </c>
      <c r="O175" s="33">
        <f t="shared" si="88"/>
        <v>692110.2999999999</v>
      </c>
      <c r="P175" s="33">
        <f t="shared" si="88"/>
        <v>1029569.4499999997</v>
      </c>
      <c r="Q175" s="33">
        <f t="shared" si="88"/>
        <v>226496.70200000002</v>
      </c>
      <c r="R175" s="33">
        <f t="shared" si="88"/>
        <v>828648.8</v>
      </c>
      <c r="S175" s="33">
        <f t="shared" si="88"/>
        <v>96198.34699999995</v>
      </c>
      <c r="T175" s="33">
        <f t="shared" si="88"/>
        <v>71032.24000000002</v>
      </c>
      <c r="U175" s="33">
        <f t="shared" si="88"/>
        <v>151528.31</v>
      </c>
      <c r="V175" s="33">
        <f t="shared" si="88"/>
        <v>376231.08999999997</v>
      </c>
      <c r="W175" s="33">
        <f t="shared" si="88"/>
        <v>164210.59999999992</v>
      </c>
      <c r="X175" s="33">
        <f t="shared" si="88"/>
        <v>234767.11999999982</v>
      </c>
      <c r="Y175" s="33">
        <f t="shared" si="88"/>
        <v>441466.31</v>
      </c>
      <c r="Z175" s="33">
        <f t="shared" si="88"/>
        <v>320673.14999999997</v>
      </c>
      <c r="AA175" s="89">
        <f t="shared" si="88"/>
        <v>86490.19999999998</v>
      </c>
      <c r="AB175" s="64">
        <f t="shared" si="88"/>
        <v>7255761.668999999</v>
      </c>
      <c r="AC175" s="18"/>
    </row>
    <row r="176" spans="1:28" s="4" customFormat="1" ht="12.75">
      <c r="A176" s="158">
        <v>27</v>
      </c>
      <c r="B176" s="130" t="s">
        <v>33</v>
      </c>
      <c r="C176" s="125" t="s">
        <v>21</v>
      </c>
      <c r="D176" s="14" t="s">
        <v>84</v>
      </c>
      <c r="E176" s="20">
        <f>-1060.31+8812.49</f>
        <v>7752.18</v>
      </c>
      <c r="F176" s="20">
        <f>-118.86+697.18</f>
        <v>578.3199999999999</v>
      </c>
      <c r="G176" s="20">
        <f>-210.05+2408.5</f>
        <v>2198.45</v>
      </c>
      <c r="H176" s="20">
        <f>-75.48+1521.29</f>
        <v>1445.81</v>
      </c>
      <c r="I176" s="20">
        <f>1438.02-185.63</f>
        <v>1252.3899999999999</v>
      </c>
      <c r="J176" s="20">
        <v>843.03</v>
      </c>
      <c r="K176" s="20">
        <v>3195.93</v>
      </c>
      <c r="L176" s="20">
        <f>2277.65-635.42</f>
        <v>1642.23</v>
      </c>
      <c r="M176" s="20">
        <v>211.44</v>
      </c>
      <c r="N176" s="20">
        <v>-1331.63</v>
      </c>
      <c r="O176" s="20">
        <f>-353.15+2385.77</f>
        <v>2032.62</v>
      </c>
      <c r="P176" s="20">
        <f>-474.59+6250.53</f>
        <v>5775.94</v>
      </c>
      <c r="Q176" s="20">
        <f>+-42.7+1274.65</f>
        <v>1231.95</v>
      </c>
      <c r="R176" s="20">
        <f>+-0.01+5558.15</f>
        <v>5558.139999999999</v>
      </c>
      <c r="S176" s="20">
        <f>-42-298.54</f>
        <v>-340.54</v>
      </c>
      <c r="T176" s="20">
        <f>-1136.54+797.76</f>
        <v>-338.78</v>
      </c>
      <c r="U176" s="20">
        <v>1671.54</v>
      </c>
      <c r="V176" s="20">
        <f>-272.14+4121.94</f>
        <v>3849.7999999999997</v>
      </c>
      <c r="W176" s="20">
        <f>3097.23-40.43</f>
        <v>3056.8</v>
      </c>
      <c r="X176" s="20">
        <f>1748.66-231.48</f>
        <v>1517.18</v>
      </c>
      <c r="Y176" s="20">
        <f>4557.47-107.09</f>
        <v>4450.38</v>
      </c>
      <c r="Z176" s="20">
        <f>-156.98+2001.64</f>
        <v>1844.66</v>
      </c>
      <c r="AA176" s="77">
        <f>15.84-275.72</f>
        <v>-259.88000000000005</v>
      </c>
      <c r="AB176" s="72">
        <v>6465.77</v>
      </c>
    </row>
    <row r="177" spans="1:28" s="4" customFormat="1" ht="12.75">
      <c r="A177" s="123"/>
      <c r="B177" s="131"/>
      <c r="C177" s="126"/>
      <c r="D177" s="9" t="s">
        <v>1</v>
      </c>
      <c r="E177" s="21">
        <f>1060.31+50940</f>
        <v>52000.31</v>
      </c>
      <c r="F177" s="21">
        <f>118.86+23130</f>
        <v>23248.86</v>
      </c>
      <c r="G177" s="21">
        <f>210.05+23805</f>
        <v>24015.05</v>
      </c>
      <c r="H177" s="21">
        <f>75.48+23985</f>
        <v>24060.48</v>
      </c>
      <c r="I177" s="21">
        <f>16356.33+185.63</f>
        <v>16541.96</v>
      </c>
      <c r="J177" s="21">
        <v>4320</v>
      </c>
      <c r="K177" s="21">
        <v>3285</v>
      </c>
      <c r="L177" s="21">
        <f>23040+635.42</f>
        <v>23675.42</v>
      </c>
      <c r="M177" s="21">
        <v>2700</v>
      </c>
      <c r="N177" s="21">
        <v>0</v>
      </c>
      <c r="O177" s="21">
        <f>353.15+38385</f>
        <v>38738.15</v>
      </c>
      <c r="P177" s="21">
        <f>474.59+71459.5</f>
        <v>71934.09</v>
      </c>
      <c r="Q177" s="21">
        <f>42.7+5400</f>
        <v>5442.7</v>
      </c>
      <c r="R177" s="21">
        <f>34380+0.01</f>
        <v>34380.01</v>
      </c>
      <c r="S177" s="21">
        <f>42+5400</f>
        <v>5442</v>
      </c>
      <c r="T177" s="21">
        <f>1136.54+8100</f>
        <v>9236.54</v>
      </c>
      <c r="U177" s="21">
        <v>5940</v>
      </c>
      <c r="V177" s="21">
        <f>272.14+19980</f>
        <v>20252.14</v>
      </c>
      <c r="W177" s="21">
        <f>40.43+23715</f>
        <v>23755.43</v>
      </c>
      <c r="X177" s="21">
        <f>231.48+21687.73</f>
        <v>21919.21</v>
      </c>
      <c r="Y177" s="21">
        <f>107.09+21060</f>
        <v>21167.09</v>
      </c>
      <c r="Z177" s="21">
        <f>156.98+22050</f>
        <v>22206.98</v>
      </c>
      <c r="AA177" s="67">
        <f>275.72+21960</f>
        <v>22235.72</v>
      </c>
      <c r="AB177" s="71">
        <f aca="true" t="shared" si="90" ref="AB177:AB205">SUM(E177:AA177)</f>
        <v>476497.14</v>
      </c>
    </row>
    <row r="178" spans="1:28" s="4" customFormat="1" ht="12.75">
      <c r="A178" s="123"/>
      <c r="B178" s="131"/>
      <c r="C178" s="126"/>
      <c r="D178" s="9" t="s">
        <v>2</v>
      </c>
      <c r="E178" s="21">
        <v>50616.74</v>
      </c>
      <c r="F178" s="21">
        <v>22953.91</v>
      </c>
      <c r="G178" s="21">
        <v>23405.4</v>
      </c>
      <c r="H178" s="21">
        <v>24171.39</v>
      </c>
      <c r="I178" s="21">
        <v>17284</v>
      </c>
      <c r="J178" s="21">
        <v>4282.17</v>
      </c>
      <c r="K178" s="21">
        <v>3568.19</v>
      </c>
      <c r="L178" s="21">
        <v>22681.03</v>
      </c>
      <c r="M178" s="21">
        <v>2666.58</v>
      </c>
      <c r="N178" s="21">
        <v>0</v>
      </c>
      <c r="O178" s="21">
        <v>37829.03</v>
      </c>
      <c r="P178" s="21">
        <v>69542.94</v>
      </c>
      <c r="Q178" s="21">
        <v>4735.99</v>
      </c>
      <c r="R178" s="21">
        <v>34047.61</v>
      </c>
      <c r="S178" s="21">
        <v>4932.7</v>
      </c>
      <c r="T178" s="21">
        <v>8573.97</v>
      </c>
      <c r="U178" s="21">
        <v>6037.14</v>
      </c>
      <c r="V178" s="21">
        <v>18814.32</v>
      </c>
      <c r="W178" s="21">
        <v>24075.44</v>
      </c>
      <c r="X178" s="21">
        <v>20116.26</v>
      </c>
      <c r="Y178" s="21">
        <v>21452.98</v>
      </c>
      <c r="Z178" s="21">
        <v>22703.4</v>
      </c>
      <c r="AA178" s="67">
        <v>20940.49</v>
      </c>
      <c r="AB178" s="72">
        <f t="shared" si="90"/>
        <v>465431.68</v>
      </c>
    </row>
    <row r="179" spans="1:28" s="4" customFormat="1" ht="12.75">
      <c r="A179" s="123"/>
      <c r="B179" s="131"/>
      <c r="C179" s="126"/>
      <c r="D179" s="9" t="s">
        <v>4</v>
      </c>
      <c r="E179" s="21">
        <f>+E177</f>
        <v>52000.31</v>
      </c>
      <c r="F179" s="21">
        <f aca="true" t="shared" si="91" ref="F179:AA179">+F177</f>
        <v>23248.86</v>
      </c>
      <c r="G179" s="21">
        <f t="shared" si="91"/>
        <v>24015.05</v>
      </c>
      <c r="H179" s="21">
        <f t="shared" si="91"/>
        <v>24060.48</v>
      </c>
      <c r="I179" s="21">
        <f t="shared" si="91"/>
        <v>16541.96</v>
      </c>
      <c r="J179" s="21">
        <f t="shared" si="91"/>
        <v>4320</v>
      </c>
      <c r="K179" s="21">
        <f t="shared" si="91"/>
        <v>3285</v>
      </c>
      <c r="L179" s="21">
        <f t="shared" si="91"/>
        <v>23675.42</v>
      </c>
      <c r="M179" s="21">
        <f t="shared" si="91"/>
        <v>2700</v>
      </c>
      <c r="N179" s="21">
        <f t="shared" si="91"/>
        <v>0</v>
      </c>
      <c r="O179" s="21">
        <f t="shared" si="91"/>
        <v>38738.15</v>
      </c>
      <c r="P179" s="21">
        <f t="shared" si="91"/>
        <v>71934.09</v>
      </c>
      <c r="Q179" s="21">
        <f t="shared" si="91"/>
        <v>5442.7</v>
      </c>
      <c r="R179" s="21">
        <f t="shared" si="91"/>
        <v>34380.01</v>
      </c>
      <c r="S179" s="21">
        <f t="shared" si="91"/>
        <v>5442</v>
      </c>
      <c r="T179" s="21">
        <f t="shared" si="91"/>
        <v>9236.54</v>
      </c>
      <c r="U179" s="21">
        <f t="shared" si="91"/>
        <v>5940</v>
      </c>
      <c r="V179" s="21">
        <f t="shared" si="91"/>
        <v>20252.14</v>
      </c>
      <c r="W179" s="21">
        <f t="shared" si="91"/>
        <v>23755.43</v>
      </c>
      <c r="X179" s="21">
        <f t="shared" si="91"/>
        <v>21919.21</v>
      </c>
      <c r="Y179" s="21">
        <f t="shared" si="91"/>
        <v>21167.09</v>
      </c>
      <c r="Z179" s="21">
        <f t="shared" si="91"/>
        <v>22206.98</v>
      </c>
      <c r="AA179" s="67">
        <f t="shared" si="91"/>
        <v>22235.72</v>
      </c>
      <c r="AB179" s="71">
        <f t="shared" si="90"/>
        <v>476497.14</v>
      </c>
    </row>
    <row r="180" spans="1:28" s="4" customFormat="1" ht="12.75">
      <c r="A180" s="123"/>
      <c r="B180" s="131"/>
      <c r="C180" s="126"/>
      <c r="D180" s="9" t="s">
        <v>3</v>
      </c>
      <c r="E180" s="22">
        <f>+E178</f>
        <v>50616.74</v>
      </c>
      <c r="F180" s="47">
        <f aca="true" t="shared" si="92" ref="F180:AA180">+F178</f>
        <v>22953.91</v>
      </c>
      <c r="G180" s="22">
        <f t="shared" si="92"/>
        <v>23405.4</v>
      </c>
      <c r="H180" s="22">
        <f t="shared" si="92"/>
        <v>24171.39</v>
      </c>
      <c r="I180" s="22">
        <f t="shared" si="92"/>
        <v>17284</v>
      </c>
      <c r="J180" s="22">
        <f t="shared" si="92"/>
        <v>4282.17</v>
      </c>
      <c r="K180" s="22">
        <f t="shared" si="92"/>
        <v>3568.19</v>
      </c>
      <c r="L180" s="22">
        <f t="shared" si="92"/>
        <v>22681.03</v>
      </c>
      <c r="M180" s="22">
        <f t="shared" si="92"/>
        <v>2666.58</v>
      </c>
      <c r="N180" s="22">
        <f t="shared" si="92"/>
        <v>0</v>
      </c>
      <c r="O180" s="22">
        <f t="shared" si="92"/>
        <v>37829.03</v>
      </c>
      <c r="P180" s="22">
        <f t="shared" si="92"/>
        <v>69542.94</v>
      </c>
      <c r="Q180" s="22">
        <f t="shared" si="92"/>
        <v>4735.99</v>
      </c>
      <c r="R180" s="22">
        <f t="shared" si="92"/>
        <v>34047.61</v>
      </c>
      <c r="S180" s="22">
        <f t="shared" si="92"/>
        <v>4932.7</v>
      </c>
      <c r="T180" s="22">
        <f t="shared" si="92"/>
        <v>8573.97</v>
      </c>
      <c r="U180" s="22">
        <f t="shared" si="92"/>
        <v>6037.14</v>
      </c>
      <c r="V180" s="22">
        <f t="shared" si="92"/>
        <v>18814.32</v>
      </c>
      <c r="W180" s="22">
        <f t="shared" si="92"/>
        <v>24075.44</v>
      </c>
      <c r="X180" s="22">
        <f t="shared" si="92"/>
        <v>20116.26</v>
      </c>
      <c r="Y180" s="22">
        <f t="shared" si="92"/>
        <v>21452.98</v>
      </c>
      <c r="Z180" s="22">
        <f t="shared" si="92"/>
        <v>22703.4</v>
      </c>
      <c r="AA180" s="68">
        <f t="shared" si="92"/>
        <v>20940.49</v>
      </c>
      <c r="AB180" s="71">
        <f t="shared" si="90"/>
        <v>465431.68</v>
      </c>
    </row>
    <row r="181" spans="1:28" s="1" customFormat="1" ht="13.5" thickBot="1">
      <c r="A181" s="123"/>
      <c r="B181" s="132"/>
      <c r="C181" s="128"/>
      <c r="D181" s="13" t="s">
        <v>83</v>
      </c>
      <c r="E181" s="24">
        <f>E176+E177-E178</f>
        <v>9135.75</v>
      </c>
      <c r="F181" s="42">
        <f>F176+F177-F178</f>
        <v>873.2700000000004</v>
      </c>
      <c r="G181" s="24">
        <f>G176+G177-G178</f>
        <v>2808.0999999999985</v>
      </c>
      <c r="H181" s="24">
        <f>H176+H177-H178</f>
        <v>1334.9000000000015</v>
      </c>
      <c r="I181" s="24">
        <f aca="true" t="shared" si="93" ref="I181:AA181">I176+I177-I178</f>
        <v>510.34999999999854</v>
      </c>
      <c r="J181" s="24">
        <f t="shared" si="93"/>
        <v>880.8599999999997</v>
      </c>
      <c r="K181" s="24">
        <f t="shared" si="93"/>
        <v>2912.7400000000002</v>
      </c>
      <c r="L181" s="24">
        <f t="shared" si="93"/>
        <v>2636.619999999999</v>
      </c>
      <c r="M181" s="24">
        <f t="shared" si="93"/>
        <v>244.86000000000013</v>
      </c>
      <c r="N181" s="24">
        <f t="shared" si="93"/>
        <v>-1331.63</v>
      </c>
      <c r="O181" s="24">
        <f>O176+O177-O178</f>
        <v>2941.7400000000052</v>
      </c>
      <c r="P181" s="24">
        <f t="shared" si="93"/>
        <v>8167.0899999999965</v>
      </c>
      <c r="Q181" s="24">
        <f t="shared" si="93"/>
        <v>1938.6599999999999</v>
      </c>
      <c r="R181" s="24">
        <f t="shared" si="93"/>
        <v>5890.540000000001</v>
      </c>
      <c r="S181" s="24">
        <f t="shared" si="93"/>
        <v>168.76000000000022</v>
      </c>
      <c r="T181" s="24">
        <f t="shared" si="93"/>
        <v>323.7900000000009</v>
      </c>
      <c r="U181" s="24">
        <f t="shared" si="93"/>
        <v>1574.3999999999996</v>
      </c>
      <c r="V181" s="24">
        <f t="shared" si="93"/>
        <v>5287.619999999999</v>
      </c>
      <c r="W181" s="24">
        <f t="shared" si="93"/>
        <v>2736.790000000001</v>
      </c>
      <c r="X181" s="24">
        <f>X176+X177-X178</f>
        <v>3320.130000000001</v>
      </c>
      <c r="Y181" s="24">
        <f>Y176+Y177-Y178</f>
        <v>4164.490000000002</v>
      </c>
      <c r="Z181" s="24">
        <f t="shared" si="93"/>
        <v>1348.239999999998</v>
      </c>
      <c r="AA181" s="76">
        <f t="shared" si="93"/>
        <v>1035.3499999999985</v>
      </c>
      <c r="AB181" s="73">
        <f t="shared" si="90"/>
        <v>58903.42</v>
      </c>
    </row>
    <row r="182" spans="1:28" s="4" customFormat="1" ht="13.5" customHeight="1">
      <c r="A182" s="11"/>
      <c r="B182" s="110" t="s">
        <v>34</v>
      </c>
      <c r="C182" s="95" t="s">
        <v>37</v>
      </c>
      <c r="D182" s="14" t="s">
        <v>84</v>
      </c>
      <c r="E182" s="35">
        <v>390.01</v>
      </c>
      <c r="F182" s="48">
        <v>-1224.54</v>
      </c>
      <c r="G182" s="35">
        <v>-12.93</v>
      </c>
      <c r="H182" s="35">
        <v>-0.01</v>
      </c>
      <c r="I182" s="35">
        <v>-16.94</v>
      </c>
      <c r="J182" s="35"/>
      <c r="K182" s="35"/>
      <c r="L182" s="35">
        <v>0</v>
      </c>
      <c r="M182" s="35"/>
      <c r="N182" s="35"/>
      <c r="O182" s="35">
        <v>-0.02</v>
      </c>
      <c r="P182" s="35"/>
      <c r="Q182" s="35"/>
      <c r="R182" s="35"/>
      <c r="S182" s="35"/>
      <c r="T182" s="35"/>
      <c r="U182" s="35"/>
      <c r="V182" s="35">
        <v>0</v>
      </c>
      <c r="W182" s="35">
        <v>0</v>
      </c>
      <c r="X182" s="35">
        <v>-2875.91</v>
      </c>
      <c r="Y182" s="25">
        <v>8200</v>
      </c>
      <c r="Z182" s="25"/>
      <c r="AA182" s="66">
        <v>-256.05</v>
      </c>
      <c r="AB182" s="70">
        <v>6465.77</v>
      </c>
    </row>
    <row r="183" spans="1:28" s="4" customFormat="1" ht="12.75">
      <c r="A183" s="11"/>
      <c r="B183" s="94"/>
      <c r="C183" s="96"/>
      <c r="D183" s="9" t="s">
        <v>1</v>
      </c>
      <c r="E183" s="22">
        <v>1920</v>
      </c>
      <c r="F183" s="47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>
        <v>8800</v>
      </c>
      <c r="W183" s="22">
        <v>10250</v>
      </c>
      <c r="X183" s="22"/>
      <c r="Y183" s="21"/>
      <c r="Z183" s="21"/>
      <c r="AA183" s="67"/>
      <c r="AB183" s="71">
        <f t="shared" si="90"/>
        <v>20970</v>
      </c>
    </row>
    <row r="184" spans="1:28" s="4" customFormat="1" ht="12.75">
      <c r="A184" s="11"/>
      <c r="B184" s="94"/>
      <c r="C184" s="96"/>
      <c r="D184" s="9" t="s">
        <v>2</v>
      </c>
      <c r="E184" s="22">
        <v>2310.01</v>
      </c>
      <c r="F184" s="47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>
        <v>8800</v>
      </c>
      <c r="W184" s="22">
        <v>3996.13</v>
      </c>
      <c r="X184" s="22"/>
      <c r="Y184" s="21"/>
      <c r="Z184" s="21"/>
      <c r="AA184" s="67"/>
      <c r="AB184" s="72">
        <f t="shared" si="90"/>
        <v>15106.14</v>
      </c>
    </row>
    <row r="185" spans="1:28" s="1" customFormat="1" ht="12.75">
      <c r="A185" s="8"/>
      <c r="B185" s="94"/>
      <c r="C185" s="96"/>
      <c r="D185" s="9" t="s">
        <v>4</v>
      </c>
      <c r="E185" s="21">
        <f>+E183</f>
        <v>1920</v>
      </c>
      <c r="F185" s="21"/>
      <c r="G185" s="21">
        <f>+G183</f>
        <v>0</v>
      </c>
      <c r="H185" s="21"/>
      <c r="I185" s="21">
        <f>+I183</f>
        <v>0</v>
      </c>
      <c r="J185" s="21"/>
      <c r="K185" s="21"/>
      <c r="L185" s="21">
        <f>+L183</f>
        <v>0</v>
      </c>
      <c r="M185" s="21"/>
      <c r="N185" s="21"/>
      <c r="O185" s="21">
        <f aca="true" t="shared" si="94" ref="O185:R186">+O183</f>
        <v>0</v>
      </c>
      <c r="P185" s="21">
        <f t="shared" si="94"/>
        <v>0</v>
      </c>
      <c r="Q185" s="21">
        <f t="shared" si="94"/>
        <v>0</v>
      </c>
      <c r="R185" s="21">
        <f t="shared" si="94"/>
        <v>0</v>
      </c>
      <c r="S185" s="21"/>
      <c r="T185" s="21"/>
      <c r="U185" s="21"/>
      <c r="V185" s="21">
        <f>+V183</f>
        <v>8800</v>
      </c>
      <c r="W185" s="21">
        <f>+W183</f>
        <v>10250</v>
      </c>
      <c r="X185" s="21"/>
      <c r="Y185" s="21"/>
      <c r="Z185" s="21"/>
      <c r="AA185" s="67">
        <f>+AA183</f>
        <v>0</v>
      </c>
      <c r="AB185" s="71">
        <f t="shared" si="90"/>
        <v>20970</v>
      </c>
    </row>
    <row r="186" spans="1:28" s="1" customFormat="1" ht="12.75">
      <c r="A186" s="8"/>
      <c r="B186" s="94"/>
      <c r="C186" s="96"/>
      <c r="D186" s="9" t="s">
        <v>3</v>
      </c>
      <c r="E186" s="22">
        <f>+E184</f>
        <v>2310.01</v>
      </c>
      <c r="F186" s="47"/>
      <c r="G186" s="22">
        <f>+G184</f>
        <v>0</v>
      </c>
      <c r="H186" s="22"/>
      <c r="I186" s="22">
        <f>+I184</f>
        <v>0</v>
      </c>
      <c r="J186" s="22"/>
      <c r="K186" s="22"/>
      <c r="L186" s="22">
        <f>+L184</f>
        <v>0</v>
      </c>
      <c r="M186" s="22"/>
      <c r="N186" s="22"/>
      <c r="O186" s="22">
        <f t="shared" si="94"/>
        <v>0</v>
      </c>
      <c r="P186" s="22">
        <f t="shared" si="94"/>
        <v>0</v>
      </c>
      <c r="Q186" s="22">
        <f t="shared" si="94"/>
        <v>0</v>
      </c>
      <c r="R186" s="22">
        <f t="shared" si="94"/>
        <v>0</v>
      </c>
      <c r="S186" s="22"/>
      <c r="T186" s="22"/>
      <c r="U186" s="22"/>
      <c r="V186" s="22">
        <f>+V184</f>
        <v>8800</v>
      </c>
      <c r="W186" s="22">
        <f>+W184</f>
        <v>3996.13</v>
      </c>
      <c r="X186" s="22"/>
      <c r="Y186" s="22"/>
      <c r="Z186" s="22"/>
      <c r="AA186" s="68">
        <f>+AA184</f>
        <v>0</v>
      </c>
      <c r="AB186" s="71">
        <f t="shared" si="90"/>
        <v>15106.14</v>
      </c>
    </row>
    <row r="187" spans="1:28" s="1" customFormat="1" ht="13.5" thickBot="1">
      <c r="A187" s="8"/>
      <c r="B187" s="94"/>
      <c r="C187" s="97"/>
      <c r="D187" s="13" t="s">
        <v>83</v>
      </c>
      <c r="E187" s="23">
        <f>E182+E183-E184</f>
        <v>0</v>
      </c>
      <c r="F187" s="41">
        <f>F182+F183-F184</f>
        <v>-1224.54</v>
      </c>
      <c r="G187" s="23">
        <f>G182+G183-G184</f>
        <v>-12.93</v>
      </c>
      <c r="H187" s="23">
        <f>H182+H183-H184</f>
        <v>-0.01</v>
      </c>
      <c r="I187" s="23">
        <f>I182+I183-I184</f>
        <v>-16.94</v>
      </c>
      <c r="J187" s="23"/>
      <c r="K187" s="23"/>
      <c r="L187" s="23">
        <f>L182+L183-L184</f>
        <v>0</v>
      </c>
      <c r="M187" s="23"/>
      <c r="N187" s="23"/>
      <c r="O187" s="23">
        <f>O182+O183-O184</f>
        <v>-0.02</v>
      </c>
      <c r="P187" s="23"/>
      <c r="Q187" s="23"/>
      <c r="R187" s="23"/>
      <c r="S187" s="23"/>
      <c r="T187" s="23"/>
      <c r="U187" s="23"/>
      <c r="V187" s="23">
        <f>V182+V183-V184</f>
        <v>0</v>
      </c>
      <c r="W187" s="23">
        <f>W182+W183-W184</f>
        <v>6253.87</v>
      </c>
      <c r="X187" s="23">
        <f>X182+X183-X184</f>
        <v>-2875.91</v>
      </c>
      <c r="Y187" s="23">
        <f>Y182+Y183-Y184</f>
        <v>8200</v>
      </c>
      <c r="Z187" s="23"/>
      <c r="AA187" s="69">
        <f>AA182+AA183-AA184</f>
        <v>-256.05</v>
      </c>
      <c r="AB187" s="73">
        <f t="shared" si="90"/>
        <v>10067.470000000001</v>
      </c>
    </row>
    <row r="188" spans="1:28" s="1" customFormat="1" ht="12.75">
      <c r="A188" s="98">
        <v>37</v>
      </c>
      <c r="B188" s="94" t="s">
        <v>29</v>
      </c>
      <c r="C188" s="95" t="s">
        <v>23</v>
      </c>
      <c r="D188" s="14" t="s">
        <v>84</v>
      </c>
      <c r="E188" s="36"/>
      <c r="F188" s="53"/>
      <c r="G188" s="36"/>
      <c r="H188" s="36"/>
      <c r="I188" s="25">
        <v>1827.93</v>
      </c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25">
        <v>1986.16</v>
      </c>
      <c r="W188" s="25"/>
      <c r="X188" s="25">
        <v>1794.95</v>
      </c>
      <c r="Y188" s="35"/>
      <c r="Z188" s="35"/>
      <c r="AA188" s="66">
        <v>3037.02</v>
      </c>
      <c r="AB188" s="70">
        <f>SUM(E188:AA188)</f>
        <v>8646.06</v>
      </c>
    </row>
    <row r="189" spans="1:28" s="1" customFormat="1" ht="12.75">
      <c r="A189" s="98"/>
      <c r="B189" s="94"/>
      <c r="C189" s="96"/>
      <c r="D189" s="9" t="s">
        <v>1</v>
      </c>
      <c r="E189" s="37"/>
      <c r="F189" s="54"/>
      <c r="G189" s="37"/>
      <c r="H189" s="37"/>
      <c r="I189" s="21">
        <v>13908</v>
      </c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21">
        <v>14640</v>
      </c>
      <c r="W189" s="21"/>
      <c r="X189" s="21">
        <v>14640</v>
      </c>
      <c r="Y189" s="22"/>
      <c r="Z189" s="22"/>
      <c r="AA189" s="67">
        <v>29280</v>
      </c>
      <c r="AB189" s="71">
        <f>SUM(E189:AA189)</f>
        <v>72468</v>
      </c>
    </row>
    <row r="190" spans="1:28" s="1" customFormat="1" ht="12.75">
      <c r="A190" s="98"/>
      <c r="B190" s="94"/>
      <c r="C190" s="96"/>
      <c r="D190" s="9" t="s">
        <v>2</v>
      </c>
      <c r="E190" s="37"/>
      <c r="F190" s="54"/>
      <c r="G190" s="37"/>
      <c r="H190" s="37"/>
      <c r="I190" s="21">
        <v>14856.37</v>
      </c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21">
        <v>13035.41</v>
      </c>
      <c r="W190" s="21"/>
      <c r="X190" s="21">
        <v>14187.85</v>
      </c>
      <c r="Y190" s="22"/>
      <c r="Z190" s="22"/>
      <c r="AA190" s="67">
        <v>28921.4</v>
      </c>
      <c r="AB190" s="72">
        <f>SUM(E190:AA190)</f>
        <v>71001.03</v>
      </c>
    </row>
    <row r="191" spans="1:28" s="1" customFormat="1" ht="12.75">
      <c r="A191" s="98"/>
      <c r="B191" s="94"/>
      <c r="C191" s="96"/>
      <c r="D191" s="9" t="s">
        <v>4</v>
      </c>
      <c r="E191" s="21"/>
      <c r="F191" s="21"/>
      <c r="G191" s="21"/>
      <c r="H191" s="21"/>
      <c r="I191" s="21">
        <f>+I189</f>
        <v>13908</v>
      </c>
      <c r="J191" s="21"/>
      <c r="K191" s="21"/>
      <c r="L191" s="21"/>
      <c r="M191" s="21"/>
      <c r="N191" s="21"/>
      <c r="O191" s="21">
        <f aca="true" t="shared" si="95" ref="O191:R192">+O189</f>
        <v>0</v>
      </c>
      <c r="P191" s="21">
        <f t="shared" si="95"/>
        <v>0</v>
      </c>
      <c r="Q191" s="21">
        <f t="shared" si="95"/>
        <v>0</v>
      </c>
      <c r="R191" s="21">
        <f t="shared" si="95"/>
        <v>0</v>
      </c>
      <c r="S191" s="21"/>
      <c r="T191" s="21"/>
      <c r="U191" s="21"/>
      <c r="V191" s="21">
        <f>+V189</f>
        <v>14640</v>
      </c>
      <c r="W191" s="21"/>
      <c r="X191" s="21">
        <f>+X189</f>
        <v>14640</v>
      </c>
      <c r="Y191" s="21"/>
      <c r="Z191" s="21"/>
      <c r="AA191" s="67">
        <f>+AA189</f>
        <v>29280</v>
      </c>
      <c r="AB191" s="71">
        <f>SUM(E191:AA191)</f>
        <v>72468</v>
      </c>
    </row>
    <row r="192" spans="1:28" s="1" customFormat="1" ht="12.75">
      <c r="A192" s="98"/>
      <c r="B192" s="94"/>
      <c r="C192" s="96"/>
      <c r="D192" s="9" t="s">
        <v>3</v>
      </c>
      <c r="E192" s="22"/>
      <c r="F192" s="47"/>
      <c r="G192" s="22"/>
      <c r="H192" s="22"/>
      <c r="I192" s="22">
        <f>+I190</f>
        <v>14856.37</v>
      </c>
      <c r="J192" s="22"/>
      <c r="K192" s="22"/>
      <c r="L192" s="22"/>
      <c r="M192" s="22"/>
      <c r="N192" s="22"/>
      <c r="O192" s="22">
        <f t="shared" si="95"/>
        <v>0</v>
      </c>
      <c r="P192" s="22">
        <f t="shared" si="95"/>
        <v>0</v>
      </c>
      <c r="Q192" s="22">
        <f t="shared" si="95"/>
        <v>0</v>
      </c>
      <c r="R192" s="22">
        <f t="shared" si="95"/>
        <v>0</v>
      </c>
      <c r="S192" s="22"/>
      <c r="T192" s="22"/>
      <c r="U192" s="22"/>
      <c r="V192" s="22">
        <f>+V190</f>
        <v>13035.41</v>
      </c>
      <c r="W192" s="22"/>
      <c r="X192" s="22">
        <f>+X190</f>
        <v>14187.85</v>
      </c>
      <c r="Y192" s="22"/>
      <c r="Z192" s="22"/>
      <c r="AA192" s="68">
        <f>+AA190</f>
        <v>28921.4</v>
      </c>
      <c r="AB192" s="71">
        <f t="shared" si="90"/>
        <v>71001.03</v>
      </c>
    </row>
    <row r="193" spans="1:28" s="1" customFormat="1" ht="13.5" thickBot="1">
      <c r="A193" s="98"/>
      <c r="B193" s="94"/>
      <c r="C193" s="97"/>
      <c r="D193" s="13" t="s">
        <v>83</v>
      </c>
      <c r="E193" s="23"/>
      <c r="F193" s="41"/>
      <c r="G193" s="23"/>
      <c r="H193" s="23"/>
      <c r="I193" s="23">
        <f>I188+I189-I190</f>
        <v>879.5599999999995</v>
      </c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>
        <f>V188+V189-V190</f>
        <v>3590.75</v>
      </c>
      <c r="W193" s="23">
        <f>W188+W189-W190</f>
        <v>0</v>
      </c>
      <c r="X193" s="23">
        <f>X188+X189-X190</f>
        <v>2247.1000000000004</v>
      </c>
      <c r="Y193" s="23"/>
      <c r="Z193" s="23"/>
      <c r="AA193" s="69">
        <f>AA188+AA189-AA190</f>
        <v>3395.619999999999</v>
      </c>
      <c r="AB193" s="73">
        <f t="shared" si="90"/>
        <v>10113.029999999999</v>
      </c>
    </row>
    <row r="194" spans="1:28" s="1" customFormat="1" ht="12.75">
      <c r="A194" s="98">
        <v>38</v>
      </c>
      <c r="B194" s="94" t="s">
        <v>28</v>
      </c>
      <c r="C194" s="95" t="s">
        <v>23</v>
      </c>
      <c r="D194" s="14" t="s">
        <v>84</v>
      </c>
      <c r="E194" s="35"/>
      <c r="F194" s="48"/>
      <c r="G194" s="35"/>
      <c r="H194" s="35"/>
      <c r="I194" s="35"/>
      <c r="J194" s="35"/>
      <c r="K194" s="35"/>
      <c r="L194" s="35"/>
      <c r="M194" s="35"/>
      <c r="N194" s="35"/>
      <c r="O194" s="35"/>
      <c r="P194" s="25">
        <v>3462.79</v>
      </c>
      <c r="Q194" s="25">
        <v>1854.24</v>
      </c>
      <c r="R194" s="35"/>
      <c r="S194" s="35"/>
      <c r="T194" s="35"/>
      <c r="U194" s="35"/>
      <c r="V194" s="35"/>
      <c r="W194" s="35"/>
      <c r="X194" s="35"/>
      <c r="Y194" s="35"/>
      <c r="Z194" s="35"/>
      <c r="AA194" s="74"/>
      <c r="AB194" s="70">
        <f t="shared" si="90"/>
        <v>5317.03</v>
      </c>
    </row>
    <row r="195" spans="1:28" s="1" customFormat="1" ht="12.75">
      <c r="A195" s="98"/>
      <c r="B195" s="94"/>
      <c r="C195" s="96"/>
      <c r="D195" s="9" t="s">
        <v>1</v>
      </c>
      <c r="E195" s="22"/>
      <c r="F195" s="47"/>
      <c r="G195" s="22"/>
      <c r="H195" s="22"/>
      <c r="I195" s="22"/>
      <c r="J195" s="22"/>
      <c r="K195" s="22"/>
      <c r="L195" s="22"/>
      <c r="M195" s="22"/>
      <c r="N195" s="22"/>
      <c r="O195" s="22"/>
      <c r="P195" s="21">
        <v>25200</v>
      </c>
      <c r="Q195" s="21">
        <v>12960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68"/>
      <c r="AB195" s="71">
        <f t="shared" si="90"/>
        <v>38160</v>
      </c>
    </row>
    <row r="196" spans="1:28" s="1" customFormat="1" ht="12.75">
      <c r="A196" s="98"/>
      <c r="B196" s="94"/>
      <c r="C196" s="96"/>
      <c r="D196" s="9" t="s">
        <v>2</v>
      </c>
      <c r="E196" s="22"/>
      <c r="F196" s="47"/>
      <c r="G196" s="22"/>
      <c r="H196" s="22"/>
      <c r="I196" s="22"/>
      <c r="J196" s="22"/>
      <c r="K196" s="22"/>
      <c r="L196" s="22"/>
      <c r="M196" s="22"/>
      <c r="N196" s="22"/>
      <c r="O196" s="22"/>
      <c r="P196" s="21">
        <v>26350.54</v>
      </c>
      <c r="Q196" s="21">
        <v>10397.88</v>
      </c>
      <c r="R196" s="22"/>
      <c r="S196" s="22"/>
      <c r="T196" s="22"/>
      <c r="U196" s="22"/>
      <c r="V196" s="22"/>
      <c r="W196" s="22"/>
      <c r="X196" s="22"/>
      <c r="Y196" s="22"/>
      <c r="Z196" s="22"/>
      <c r="AA196" s="68"/>
      <c r="AB196" s="72">
        <f t="shared" si="90"/>
        <v>36748.42</v>
      </c>
    </row>
    <row r="197" spans="1:28" s="1" customFormat="1" ht="12.75">
      <c r="A197" s="98"/>
      <c r="B197" s="94"/>
      <c r="C197" s="96"/>
      <c r="D197" s="9" t="s">
        <v>4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>
        <f aca="true" t="shared" si="96" ref="O197:R198">+O195</f>
        <v>0</v>
      </c>
      <c r="P197" s="21">
        <f t="shared" si="96"/>
        <v>25200</v>
      </c>
      <c r="Q197" s="21">
        <f t="shared" si="96"/>
        <v>12960</v>
      </c>
      <c r="R197" s="21">
        <f t="shared" si="96"/>
        <v>0</v>
      </c>
      <c r="S197" s="21"/>
      <c r="T197" s="21"/>
      <c r="U197" s="21"/>
      <c r="V197" s="21"/>
      <c r="W197" s="21"/>
      <c r="X197" s="21"/>
      <c r="Y197" s="21"/>
      <c r="Z197" s="21"/>
      <c r="AA197" s="67"/>
      <c r="AB197" s="71">
        <f t="shared" si="90"/>
        <v>38160</v>
      </c>
    </row>
    <row r="198" spans="1:28" s="1" customFormat="1" ht="12.75">
      <c r="A198" s="98"/>
      <c r="B198" s="94"/>
      <c r="C198" s="96"/>
      <c r="D198" s="9" t="s">
        <v>3</v>
      </c>
      <c r="E198" s="22"/>
      <c r="F198" s="47"/>
      <c r="G198" s="22"/>
      <c r="H198" s="22"/>
      <c r="I198" s="22"/>
      <c r="J198" s="22"/>
      <c r="K198" s="22"/>
      <c r="L198" s="22"/>
      <c r="M198" s="22"/>
      <c r="N198" s="22"/>
      <c r="O198" s="22">
        <f t="shared" si="96"/>
        <v>0</v>
      </c>
      <c r="P198" s="22">
        <f t="shared" si="96"/>
        <v>26350.54</v>
      </c>
      <c r="Q198" s="22">
        <f t="shared" si="96"/>
        <v>10397.88</v>
      </c>
      <c r="R198" s="22">
        <f t="shared" si="96"/>
        <v>0</v>
      </c>
      <c r="S198" s="22"/>
      <c r="T198" s="22"/>
      <c r="U198" s="22"/>
      <c r="V198" s="22"/>
      <c r="W198" s="22"/>
      <c r="X198" s="22"/>
      <c r="Y198" s="22"/>
      <c r="Z198" s="22"/>
      <c r="AA198" s="68"/>
      <c r="AB198" s="71">
        <f t="shared" si="90"/>
        <v>36748.42</v>
      </c>
    </row>
    <row r="199" spans="1:28" s="1" customFormat="1" ht="13.5" thickBot="1">
      <c r="A199" s="98"/>
      <c r="B199" s="94"/>
      <c r="C199" s="97"/>
      <c r="D199" s="13" t="s">
        <v>83</v>
      </c>
      <c r="E199" s="23"/>
      <c r="F199" s="41"/>
      <c r="G199" s="23"/>
      <c r="H199" s="23"/>
      <c r="I199" s="23"/>
      <c r="J199" s="23"/>
      <c r="K199" s="23"/>
      <c r="L199" s="23"/>
      <c r="M199" s="23"/>
      <c r="N199" s="23"/>
      <c r="O199" s="23"/>
      <c r="P199" s="23">
        <f>P194+P195-P196</f>
        <v>2312.25</v>
      </c>
      <c r="Q199" s="23">
        <f>Q194+Q195-Q196</f>
        <v>4416.360000000001</v>
      </c>
      <c r="R199" s="23"/>
      <c r="S199" s="23"/>
      <c r="T199" s="23"/>
      <c r="U199" s="23"/>
      <c r="V199" s="23"/>
      <c r="W199" s="23"/>
      <c r="X199" s="23"/>
      <c r="Y199" s="23"/>
      <c r="Z199" s="23"/>
      <c r="AA199" s="69"/>
      <c r="AB199" s="73">
        <f t="shared" si="90"/>
        <v>6728.610000000001</v>
      </c>
    </row>
    <row r="200" spans="1:28" s="4" customFormat="1" ht="12.75">
      <c r="A200" s="98">
        <v>39</v>
      </c>
      <c r="B200" s="94" t="s">
        <v>25</v>
      </c>
      <c r="C200" s="95" t="s">
        <v>23</v>
      </c>
      <c r="D200" s="14" t="s">
        <v>84</v>
      </c>
      <c r="E200" s="25">
        <v>28146.39</v>
      </c>
      <c r="F200" s="48">
        <v>3399.8</v>
      </c>
      <c r="G200" s="35">
        <v>6972.62</v>
      </c>
      <c r="H200" s="25">
        <v>12132.65</v>
      </c>
      <c r="I200" s="35">
        <v>5838.13</v>
      </c>
      <c r="J200" s="35">
        <v>1133.38</v>
      </c>
      <c r="K200" s="35">
        <v>7278.21</v>
      </c>
      <c r="L200" s="35">
        <v>5105.09</v>
      </c>
      <c r="M200" s="35">
        <v>1283</v>
      </c>
      <c r="N200" s="35">
        <v>7191.96</v>
      </c>
      <c r="O200" s="25">
        <v>21603.01</v>
      </c>
      <c r="P200" s="25">
        <v>30229.41</v>
      </c>
      <c r="Q200" s="25">
        <v>720</v>
      </c>
      <c r="R200" s="25">
        <v>19556.94</v>
      </c>
      <c r="S200" s="25">
        <v>2602.88</v>
      </c>
      <c r="T200" s="25">
        <v>1755.95</v>
      </c>
      <c r="U200" s="25">
        <v>3176.58</v>
      </c>
      <c r="V200" s="25">
        <v>9081.78</v>
      </c>
      <c r="W200" s="25">
        <v>6526.68</v>
      </c>
      <c r="X200" s="25">
        <v>5496.97</v>
      </c>
      <c r="Y200" s="25">
        <v>12524.61</v>
      </c>
      <c r="Z200" s="25">
        <v>8814</v>
      </c>
      <c r="AA200" s="66">
        <v>849.55</v>
      </c>
      <c r="AB200" s="70">
        <f t="shared" si="90"/>
        <v>201419.58999999997</v>
      </c>
    </row>
    <row r="201" spans="1:28" s="4" customFormat="1" ht="12.75">
      <c r="A201" s="98"/>
      <c r="B201" s="94"/>
      <c r="C201" s="96"/>
      <c r="D201" s="9" t="s">
        <v>1</v>
      </c>
      <c r="E201" s="21">
        <v>107640</v>
      </c>
      <c r="F201" s="47">
        <v>57600</v>
      </c>
      <c r="G201" s="22">
        <v>56880</v>
      </c>
      <c r="H201" s="21">
        <v>43200</v>
      </c>
      <c r="I201" s="22">
        <v>28800</v>
      </c>
      <c r="J201" s="22">
        <v>5760</v>
      </c>
      <c r="K201" s="22">
        <v>9360</v>
      </c>
      <c r="L201" s="22">
        <v>52560</v>
      </c>
      <c r="M201" s="22">
        <v>8640</v>
      </c>
      <c r="N201" s="22">
        <v>22320</v>
      </c>
      <c r="O201" s="21">
        <v>98280</v>
      </c>
      <c r="P201" s="21">
        <v>153720</v>
      </c>
      <c r="Q201" s="21"/>
      <c r="R201" s="21">
        <v>96840</v>
      </c>
      <c r="S201" s="21">
        <v>18000</v>
      </c>
      <c r="T201" s="21">
        <v>18000</v>
      </c>
      <c r="U201" s="21">
        <v>13680</v>
      </c>
      <c r="V201" s="21">
        <v>42480</v>
      </c>
      <c r="W201" s="21">
        <v>57600</v>
      </c>
      <c r="X201" s="21">
        <v>41485.36</v>
      </c>
      <c r="Y201" s="21">
        <v>55440</v>
      </c>
      <c r="Z201" s="21">
        <v>56880</v>
      </c>
      <c r="AA201" s="67">
        <v>28800</v>
      </c>
      <c r="AB201" s="71">
        <f t="shared" si="90"/>
        <v>1073965.3599999999</v>
      </c>
    </row>
    <row r="202" spans="1:28" s="4" customFormat="1" ht="12.75">
      <c r="A202" s="98"/>
      <c r="B202" s="94"/>
      <c r="C202" s="96"/>
      <c r="D202" s="9" t="s">
        <v>2</v>
      </c>
      <c r="E202" s="21">
        <v>107409.84</v>
      </c>
      <c r="F202" s="47">
        <v>56325.37</v>
      </c>
      <c r="G202" s="22">
        <v>56214.23</v>
      </c>
      <c r="H202" s="21">
        <v>42000.32</v>
      </c>
      <c r="I202" s="22">
        <v>27406.86</v>
      </c>
      <c r="J202" s="22">
        <v>5718.91</v>
      </c>
      <c r="K202" s="22">
        <v>8341.94</v>
      </c>
      <c r="L202" s="22">
        <v>51360.7</v>
      </c>
      <c r="M202" s="22">
        <v>8973.72</v>
      </c>
      <c r="N202" s="22">
        <v>20799.09</v>
      </c>
      <c r="O202" s="21">
        <v>95324.67</v>
      </c>
      <c r="P202" s="21">
        <v>153936.73</v>
      </c>
      <c r="Q202" s="21"/>
      <c r="R202" s="21">
        <v>93895.82</v>
      </c>
      <c r="S202" s="21">
        <v>18524.96</v>
      </c>
      <c r="T202" s="21">
        <v>18292.17</v>
      </c>
      <c r="U202" s="21">
        <v>13683.74</v>
      </c>
      <c r="V202" s="21">
        <v>40189.53</v>
      </c>
      <c r="W202" s="21">
        <v>57416</v>
      </c>
      <c r="X202" s="21">
        <v>40660.6</v>
      </c>
      <c r="Y202" s="21">
        <v>56150.23</v>
      </c>
      <c r="Z202" s="21">
        <v>56353.37</v>
      </c>
      <c r="AA202" s="67">
        <v>28353.4</v>
      </c>
      <c r="AB202" s="72">
        <f t="shared" si="90"/>
        <v>1057332.2</v>
      </c>
    </row>
    <row r="203" spans="1:28" s="4" customFormat="1" ht="12.75">
      <c r="A203" s="98"/>
      <c r="B203" s="94"/>
      <c r="C203" s="96"/>
      <c r="D203" s="9" t="s">
        <v>4</v>
      </c>
      <c r="E203" s="21">
        <f>+E201</f>
        <v>107640</v>
      </c>
      <c r="F203" s="21">
        <f aca="true" t="shared" si="97" ref="F203:AA203">+F201</f>
        <v>57600</v>
      </c>
      <c r="G203" s="21">
        <f t="shared" si="97"/>
        <v>56880</v>
      </c>
      <c r="H203" s="21">
        <f t="shared" si="97"/>
        <v>43200</v>
      </c>
      <c r="I203" s="21">
        <f t="shared" si="97"/>
        <v>28800</v>
      </c>
      <c r="J203" s="21">
        <f t="shared" si="97"/>
        <v>5760</v>
      </c>
      <c r="K203" s="21">
        <f t="shared" si="97"/>
        <v>9360</v>
      </c>
      <c r="L203" s="21">
        <f t="shared" si="97"/>
        <v>52560</v>
      </c>
      <c r="M203" s="21">
        <f t="shared" si="97"/>
        <v>8640</v>
      </c>
      <c r="N203" s="21">
        <f t="shared" si="97"/>
        <v>22320</v>
      </c>
      <c r="O203" s="21">
        <f t="shared" si="97"/>
        <v>98280</v>
      </c>
      <c r="P203" s="21">
        <f t="shared" si="97"/>
        <v>153720</v>
      </c>
      <c r="Q203" s="21">
        <f t="shared" si="97"/>
        <v>0</v>
      </c>
      <c r="R203" s="21">
        <f t="shared" si="97"/>
        <v>96840</v>
      </c>
      <c r="S203" s="21">
        <f t="shared" si="97"/>
        <v>18000</v>
      </c>
      <c r="T203" s="21">
        <f t="shared" si="97"/>
        <v>18000</v>
      </c>
      <c r="U203" s="21">
        <f t="shared" si="97"/>
        <v>13680</v>
      </c>
      <c r="V203" s="21">
        <f t="shared" si="97"/>
        <v>42480</v>
      </c>
      <c r="W203" s="21">
        <f t="shared" si="97"/>
        <v>57600</v>
      </c>
      <c r="X203" s="21">
        <f t="shared" si="97"/>
        <v>41485.36</v>
      </c>
      <c r="Y203" s="21">
        <f>+Y201</f>
        <v>55440</v>
      </c>
      <c r="Z203" s="21">
        <f t="shared" si="97"/>
        <v>56880</v>
      </c>
      <c r="AA203" s="67">
        <f t="shared" si="97"/>
        <v>28800</v>
      </c>
      <c r="AB203" s="71">
        <f t="shared" si="90"/>
        <v>1073965.3599999999</v>
      </c>
    </row>
    <row r="204" spans="1:28" s="4" customFormat="1" ht="12.75">
      <c r="A204" s="98"/>
      <c r="B204" s="94"/>
      <c r="C204" s="96"/>
      <c r="D204" s="9" t="s">
        <v>3</v>
      </c>
      <c r="E204" s="22">
        <f>+E202</f>
        <v>107409.84</v>
      </c>
      <c r="F204" s="47">
        <f aca="true" t="shared" si="98" ref="F204:AA204">+F202</f>
        <v>56325.37</v>
      </c>
      <c r="G204" s="22">
        <f t="shared" si="98"/>
        <v>56214.23</v>
      </c>
      <c r="H204" s="22">
        <f t="shared" si="98"/>
        <v>42000.32</v>
      </c>
      <c r="I204" s="22">
        <f t="shared" si="98"/>
        <v>27406.86</v>
      </c>
      <c r="J204" s="22">
        <f t="shared" si="98"/>
        <v>5718.91</v>
      </c>
      <c r="K204" s="22">
        <f t="shared" si="98"/>
        <v>8341.94</v>
      </c>
      <c r="L204" s="22">
        <f t="shared" si="98"/>
        <v>51360.7</v>
      </c>
      <c r="M204" s="22">
        <f t="shared" si="98"/>
        <v>8973.72</v>
      </c>
      <c r="N204" s="22">
        <f t="shared" si="98"/>
        <v>20799.09</v>
      </c>
      <c r="O204" s="22">
        <f t="shared" si="98"/>
        <v>95324.67</v>
      </c>
      <c r="P204" s="22">
        <f t="shared" si="98"/>
        <v>153936.73</v>
      </c>
      <c r="Q204" s="22">
        <f t="shared" si="98"/>
        <v>0</v>
      </c>
      <c r="R204" s="22">
        <f t="shared" si="98"/>
        <v>93895.82</v>
      </c>
      <c r="S204" s="22">
        <f t="shared" si="98"/>
        <v>18524.96</v>
      </c>
      <c r="T204" s="22">
        <f t="shared" si="98"/>
        <v>18292.17</v>
      </c>
      <c r="U204" s="22">
        <f t="shared" si="98"/>
        <v>13683.74</v>
      </c>
      <c r="V204" s="22">
        <f t="shared" si="98"/>
        <v>40189.53</v>
      </c>
      <c r="W204" s="22">
        <f t="shared" si="98"/>
        <v>57416</v>
      </c>
      <c r="X204" s="22">
        <f t="shared" si="98"/>
        <v>40660.6</v>
      </c>
      <c r="Y204" s="22">
        <f>+Y202</f>
        <v>56150.23</v>
      </c>
      <c r="Z204" s="22">
        <f t="shared" si="98"/>
        <v>56353.37</v>
      </c>
      <c r="AA204" s="68">
        <f t="shared" si="98"/>
        <v>28353.4</v>
      </c>
      <c r="AB204" s="71">
        <f t="shared" si="90"/>
        <v>1057332.2</v>
      </c>
    </row>
    <row r="205" spans="1:28" s="1" customFormat="1" ht="13.5" thickBot="1">
      <c r="A205" s="105"/>
      <c r="B205" s="106"/>
      <c r="C205" s="97"/>
      <c r="D205" s="13" t="s">
        <v>83</v>
      </c>
      <c r="E205" s="23">
        <f>E200+E201-E202</f>
        <v>28376.550000000017</v>
      </c>
      <c r="F205" s="41">
        <f aca="true" t="shared" si="99" ref="F205:AA205">F200+F201-F202</f>
        <v>4674.43</v>
      </c>
      <c r="G205" s="23">
        <f t="shared" si="99"/>
        <v>7638.389999999999</v>
      </c>
      <c r="H205" s="23">
        <f t="shared" si="99"/>
        <v>13332.330000000002</v>
      </c>
      <c r="I205" s="23">
        <f t="shared" si="99"/>
        <v>7231.269999999997</v>
      </c>
      <c r="J205" s="23">
        <f t="shared" si="99"/>
        <v>1174.4700000000003</v>
      </c>
      <c r="K205" s="23">
        <f t="shared" si="99"/>
        <v>8296.269999999999</v>
      </c>
      <c r="L205" s="23">
        <f t="shared" si="99"/>
        <v>6304.389999999999</v>
      </c>
      <c r="M205" s="23">
        <f t="shared" si="99"/>
        <v>949.2800000000007</v>
      </c>
      <c r="N205" s="23">
        <f t="shared" si="99"/>
        <v>8712.869999999999</v>
      </c>
      <c r="O205" s="23">
        <f t="shared" si="99"/>
        <v>24558.339999999997</v>
      </c>
      <c r="P205" s="23">
        <f>P200+P201-P202</f>
        <v>30012.679999999993</v>
      </c>
      <c r="Q205" s="23">
        <f t="shared" si="99"/>
        <v>720</v>
      </c>
      <c r="R205" s="23">
        <f t="shared" si="99"/>
        <v>22501.119999999995</v>
      </c>
      <c r="S205" s="23">
        <f t="shared" si="99"/>
        <v>2077.920000000002</v>
      </c>
      <c r="T205" s="23">
        <f t="shared" si="99"/>
        <v>1463.7800000000025</v>
      </c>
      <c r="U205" s="23">
        <f t="shared" si="99"/>
        <v>3172.840000000002</v>
      </c>
      <c r="V205" s="23">
        <f t="shared" si="99"/>
        <v>11372.25</v>
      </c>
      <c r="W205" s="23">
        <f t="shared" si="99"/>
        <v>6710.68</v>
      </c>
      <c r="X205" s="23">
        <f t="shared" si="99"/>
        <v>6321.730000000003</v>
      </c>
      <c r="Y205" s="23">
        <f>Y200+Y201-Y202</f>
        <v>11814.379999999997</v>
      </c>
      <c r="Z205" s="23">
        <f t="shared" si="99"/>
        <v>9340.629999999997</v>
      </c>
      <c r="AA205" s="69">
        <f t="shared" si="99"/>
        <v>1296.1499999999978</v>
      </c>
      <c r="AB205" s="73">
        <f t="shared" si="90"/>
        <v>218052.75000000003</v>
      </c>
    </row>
    <row r="206" spans="1:28" s="4" customFormat="1" ht="12.75">
      <c r="A206" s="99" t="s">
        <v>56</v>
      </c>
      <c r="B206" s="100"/>
      <c r="C206" s="100"/>
      <c r="D206" s="100"/>
      <c r="E206" s="31"/>
      <c r="F206" s="57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1"/>
      <c r="R206" s="31"/>
      <c r="S206" s="31"/>
      <c r="T206" s="31"/>
      <c r="U206" s="31"/>
      <c r="V206" s="31"/>
      <c r="W206" s="31"/>
      <c r="X206" s="31"/>
      <c r="Y206" s="31"/>
      <c r="Z206" s="31"/>
      <c r="AA206" s="60"/>
      <c r="AB206" s="65"/>
    </row>
    <row r="207" spans="1:28" s="4" customFormat="1" ht="12.75">
      <c r="A207" s="101"/>
      <c r="B207" s="102"/>
      <c r="C207" s="102"/>
      <c r="D207" s="10" t="s">
        <v>84</v>
      </c>
      <c r="E207" s="32">
        <f aca="true" t="shared" si="100" ref="E207:E212">E176+E182+E188+E194+E200</f>
        <v>36288.58</v>
      </c>
      <c r="F207" s="32">
        <f aca="true" t="shared" si="101" ref="F207:AB212">F176+F182+F188+F194+F200</f>
        <v>2753.58</v>
      </c>
      <c r="G207" s="32">
        <f t="shared" si="101"/>
        <v>9158.14</v>
      </c>
      <c r="H207" s="32">
        <f t="shared" si="101"/>
        <v>13578.449999999999</v>
      </c>
      <c r="I207" s="32">
        <f t="shared" si="101"/>
        <v>8901.51</v>
      </c>
      <c r="J207" s="32">
        <f t="shared" si="101"/>
        <v>1976.41</v>
      </c>
      <c r="K207" s="32">
        <f t="shared" si="101"/>
        <v>10474.14</v>
      </c>
      <c r="L207" s="32">
        <f t="shared" si="101"/>
        <v>6747.32</v>
      </c>
      <c r="M207" s="32">
        <f t="shared" si="101"/>
        <v>1494.44</v>
      </c>
      <c r="N207" s="32">
        <f t="shared" si="101"/>
        <v>5860.33</v>
      </c>
      <c r="O207" s="32">
        <f t="shared" si="101"/>
        <v>23635.609999999997</v>
      </c>
      <c r="P207" s="32">
        <f t="shared" si="101"/>
        <v>39468.14</v>
      </c>
      <c r="Q207" s="32">
        <f t="shared" si="101"/>
        <v>3806.19</v>
      </c>
      <c r="R207" s="32">
        <f t="shared" si="101"/>
        <v>25115.079999999998</v>
      </c>
      <c r="S207" s="32">
        <f t="shared" si="101"/>
        <v>2262.34</v>
      </c>
      <c r="T207" s="32">
        <f t="shared" si="101"/>
        <v>1417.17</v>
      </c>
      <c r="U207" s="32">
        <f t="shared" si="101"/>
        <v>4848.12</v>
      </c>
      <c r="V207" s="32">
        <f t="shared" si="101"/>
        <v>14917.740000000002</v>
      </c>
      <c r="W207" s="32">
        <f t="shared" si="101"/>
        <v>9583.48</v>
      </c>
      <c r="X207" s="32">
        <f t="shared" si="101"/>
        <v>5933.1900000000005</v>
      </c>
      <c r="Y207" s="32">
        <f t="shared" si="101"/>
        <v>25174.99</v>
      </c>
      <c r="Z207" s="32">
        <f t="shared" si="101"/>
        <v>10658.66</v>
      </c>
      <c r="AA207" s="61">
        <f t="shared" si="101"/>
        <v>3370.6400000000003</v>
      </c>
      <c r="AB207" s="63">
        <f t="shared" si="101"/>
        <v>228314.21999999997</v>
      </c>
    </row>
    <row r="208" spans="1:28" s="4" customFormat="1" ht="12.75">
      <c r="A208" s="101"/>
      <c r="B208" s="102"/>
      <c r="C208" s="102"/>
      <c r="D208" s="10" t="s">
        <v>1</v>
      </c>
      <c r="E208" s="32">
        <f t="shared" si="100"/>
        <v>161560.31</v>
      </c>
      <c r="F208" s="32">
        <f aca="true" t="shared" si="102" ref="F208:T208">F177+F183+F189+F195+F201</f>
        <v>80848.86</v>
      </c>
      <c r="G208" s="32">
        <f t="shared" si="102"/>
        <v>80895.05</v>
      </c>
      <c r="H208" s="32">
        <f t="shared" si="102"/>
        <v>67260.48</v>
      </c>
      <c r="I208" s="32">
        <f t="shared" si="102"/>
        <v>59249.96</v>
      </c>
      <c r="J208" s="32">
        <f t="shared" si="102"/>
        <v>10080</v>
      </c>
      <c r="K208" s="32">
        <f t="shared" si="102"/>
        <v>12645</v>
      </c>
      <c r="L208" s="32">
        <f t="shared" si="102"/>
        <v>76235.42</v>
      </c>
      <c r="M208" s="32">
        <f t="shared" si="102"/>
        <v>11340</v>
      </c>
      <c r="N208" s="32">
        <f t="shared" si="102"/>
        <v>22320</v>
      </c>
      <c r="O208" s="32">
        <f t="shared" si="102"/>
        <v>137018.15</v>
      </c>
      <c r="P208" s="32">
        <f t="shared" si="102"/>
        <v>250854.09</v>
      </c>
      <c r="Q208" s="32">
        <f t="shared" si="102"/>
        <v>18402.7</v>
      </c>
      <c r="R208" s="32">
        <f t="shared" si="102"/>
        <v>131220.01</v>
      </c>
      <c r="S208" s="32">
        <f t="shared" si="102"/>
        <v>23442</v>
      </c>
      <c r="T208" s="32">
        <f t="shared" si="102"/>
        <v>27236.54</v>
      </c>
      <c r="U208" s="32">
        <f t="shared" si="101"/>
        <v>19620</v>
      </c>
      <c r="V208" s="32">
        <f t="shared" si="101"/>
        <v>86172.14</v>
      </c>
      <c r="W208" s="32">
        <f t="shared" si="101"/>
        <v>91605.43</v>
      </c>
      <c r="X208" s="32">
        <f t="shared" si="101"/>
        <v>78044.57</v>
      </c>
      <c r="Y208" s="32">
        <f t="shared" si="101"/>
        <v>76607.09</v>
      </c>
      <c r="Z208" s="32">
        <f t="shared" si="101"/>
        <v>79086.98</v>
      </c>
      <c r="AA208" s="61">
        <f t="shared" si="101"/>
        <v>80315.72</v>
      </c>
      <c r="AB208" s="63">
        <f t="shared" si="101"/>
        <v>1682060.5</v>
      </c>
    </row>
    <row r="209" spans="1:30" s="4" customFormat="1" ht="12.75">
      <c r="A209" s="101"/>
      <c r="B209" s="102"/>
      <c r="C209" s="102"/>
      <c r="D209" s="10" t="s">
        <v>2</v>
      </c>
      <c r="E209" s="32">
        <f t="shared" si="100"/>
        <v>160336.59</v>
      </c>
      <c r="F209" s="32">
        <f t="shared" si="101"/>
        <v>79279.28</v>
      </c>
      <c r="G209" s="32">
        <f t="shared" si="101"/>
        <v>79619.63</v>
      </c>
      <c r="H209" s="32">
        <f t="shared" si="101"/>
        <v>66171.70999999999</v>
      </c>
      <c r="I209" s="32">
        <f t="shared" si="101"/>
        <v>59547.23</v>
      </c>
      <c r="J209" s="32">
        <f t="shared" si="101"/>
        <v>10001.08</v>
      </c>
      <c r="K209" s="32">
        <f t="shared" si="101"/>
        <v>11910.130000000001</v>
      </c>
      <c r="L209" s="32">
        <f t="shared" si="101"/>
        <v>74041.73</v>
      </c>
      <c r="M209" s="32">
        <f t="shared" si="101"/>
        <v>11640.3</v>
      </c>
      <c r="N209" s="32">
        <f t="shared" si="101"/>
        <v>20799.09</v>
      </c>
      <c r="O209" s="32">
        <f t="shared" si="101"/>
        <v>133153.7</v>
      </c>
      <c r="P209" s="32">
        <f t="shared" si="101"/>
        <v>249830.21000000002</v>
      </c>
      <c r="Q209" s="32">
        <f t="shared" si="101"/>
        <v>15133.869999999999</v>
      </c>
      <c r="R209" s="32">
        <f t="shared" si="101"/>
        <v>127943.43000000001</v>
      </c>
      <c r="S209" s="32">
        <f t="shared" si="101"/>
        <v>23457.66</v>
      </c>
      <c r="T209" s="32">
        <f t="shared" si="101"/>
        <v>26866.14</v>
      </c>
      <c r="U209" s="32">
        <f t="shared" si="101"/>
        <v>19720.88</v>
      </c>
      <c r="V209" s="32">
        <f t="shared" si="101"/>
        <v>80839.26</v>
      </c>
      <c r="W209" s="32">
        <f t="shared" si="101"/>
        <v>85487.57</v>
      </c>
      <c r="X209" s="32">
        <f t="shared" si="101"/>
        <v>74964.70999999999</v>
      </c>
      <c r="Y209" s="32">
        <f t="shared" si="101"/>
        <v>77603.21</v>
      </c>
      <c r="Z209" s="32">
        <f t="shared" si="101"/>
        <v>79056.77</v>
      </c>
      <c r="AA209" s="61">
        <f t="shared" si="101"/>
        <v>78215.29000000001</v>
      </c>
      <c r="AB209" s="63">
        <f t="shared" si="101"/>
        <v>1645619.47</v>
      </c>
      <c r="AD209" s="6"/>
    </row>
    <row r="210" spans="1:28" s="4" customFormat="1" ht="12.75">
      <c r="A210" s="101"/>
      <c r="B210" s="102"/>
      <c r="C210" s="102"/>
      <c r="D210" s="10" t="s">
        <v>4</v>
      </c>
      <c r="E210" s="32">
        <f t="shared" si="100"/>
        <v>161560.31</v>
      </c>
      <c r="F210" s="32">
        <f t="shared" si="101"/>
        <v>80848.86</v>
      </c>
      <c r="G210" s="32">
        <f t="shared" si="101"/>
        <v>80895.05</v>
      </c>
      <c r="H210" s="32">
        <f t="shared" si="101"/>
        <v>67260.48</v>
      </c>
      <c r="I210" s="32">
        <f t="shared" si="101"/>
        <v>59249.96</v>
      </c>
      <c r="J210" s="32">
        <f t="shared" si="101"/>
        <v>10080</v>
      </c>
      <c r="K210" s="32">
        <f t="shared" si="101"/>
        <v>12645</v>
      </c>
      <c r="L210" s="32">
        <f t="shared" si="101"/>
        <v>76235.42</v>
      </c>
      <c r="M210" s="32">
        <f t="shared" si="101"/>
        <v>11340</v>
      </c>
      <c r="N210" s="32">
        <f t="shared" si="101"/>
        <v>22320</v>
      </c>
      <c r="O210" s="32">
        <f t="shared" si="101"/>
        <v>137018.15</v>
      </c>
      <c r="P210" s="32">
        <f t="shared" si="101"/>
        <v>250854.09</v>
      </c>
      <c r="Q210" s="32">
        <f t="shared" si="101"/>
        <v>18402.7</v>
      </c>
      <c r="R210" s="32">
        <f t="shared" si="101"/>
        <v>131220.01</v>
      </c>
      <c r="S210" s="32">
        <f t="shared" si="101"/>
        <v>23442</v>
      </c>
      <c r="T210" s="32">
        <f t="shared" si="101"/>
        <v>27236.54</v>
      </c>
      <c r="U210" s="32">
        <f t="shared" si="101"/>
        <v>19620</v>
      </c>
      <c r="V210" s="32">
        <f t="shared" si="101"/>
        <v>86172.14</v>
      </c>
      <c r="W210" s="32">
        <f t="shared" si="101"/>
        <v>91605.43</v>
      </c>
      <c r="X210" s="32">
        <f t="shared" si="101"/>
        <v>78044.57</v>
      </c>
      <c r="Y210" s="32">
        <f t="shared" si="101"/>
        <v>76607.09</v>
      </c>
      <c r="Z210" s="32">
        <f t="shared" si="101"/>
        <v>79086.98</v>
      </c>
      <c r="AA210" s="61">
        <f t="shared" si="101"/>
        <v>80315.72</v>
      </c>
      <c r="AB210" s="63">
        <f t="shared" si="101"/>
        <v>1682060.5</v>
      </c>
    </row>
    <row r="211" spans="1:28" s="4" customFormat="1" ht="12.75">
      <c r="A211" s="101"/>
      <c r="B211" s="102"/>
      <c r="C211" s="102"/>
      <c r="D211" s="10" t="s">
        <v>3</v>
      </c>
      <c r="E211" s="32">
        <f t="shared" si="100"/>
        <v>160336.59</v>
      </c>
      <c r="F211" s="32">
        <f t="shared" si="101"/>
        <v>79279.28</v>
      </c>
      <c r="G211" s="32">
        <f t="shared" si="101"/>
        <v>79619.63</v>
      </c>
      <c r="H211" s="32">
        <f t="shared" si="101"/>
        <v>66171.70999999999</v>
      </c>
      <c r="I211" s="32">
        <f t="shared" si="101"/>
        <v>59547.23</v>
      </c>
      <c r="J211" s="32">
        <f t="shared" si="101"/>
        <v>10001.08</v>
      </c>
      <c r="K211" s="32">
        <f t="shared" si="101"/>
        <v>11910.130000000001</v>
      </c>
      <c r="L211" s="32">
        <f t="shared" si="101"/>
        <v>74041.73</v>
      </c>
      <c r="M211" s="32">
        <f t="shared" si="101"/>
        <v>11640.3</v>
      </c>
      <c r="N211" s="32">
        <f t="shared" si="101"/>
        <v>20799.09</v>
      </c>
      <c r="O211" s="32">
        <f t="shared" si="101"/>
        <v>133153.7</v>
      </c>
      <c r="P211" s="32">
        <f t="shared" si="101"/>
        <v>249830.21000000002</v>
      </c>
      <c r="Q211" s="32">
        <f t="shared" si="101"/>
        <v>15133.869999999999</v>
      </c>
      <c r="R211" s="32">
        <f t="shared" si="101"/>
        <v>127943.43000000001</v>
      </c>
      <c r="S211" s="32">
        <f t="shared" si="101"/>
        <v>23457.66</v>
      </c>
      <c r="T211" s="32">
        <f t="shared" si="101"/>
        <v>26866.14</v>
      </c>
      <c r="U211" s="32">
        <f t="shared" si="101"/>
        <v>19720.88</v>
      </c>
      <c r="V211" s="32">
        <f t="shared" si="101"/>
        <v>80839.26</v>
      </c>
      <c r="W211" s="32">
        <f t="shared" si="101"/>
        <v>85487.57</v>
      </c>
      <c r="X211" s="32">
        <f t="shared" si="101"/>
        <v>74964.70999999999</v>
      </c>
      <c r="Y211" s="32">
        <f t="shared" si="101"/>
        <v>77603.21</v>
      </c>
      <c r="Z211" s="32">
        <f t="shared" si="101"/>
        <v>79056.77</v>
      </c>
      <c r="AA211" s="61">
        <f t="shared" si="101"/>
        <v>78215.29000000001</v>
      </c>
      <c r="AB211" s="63">
        <f t="shared" si="101"/>
        <v>1645619.47</v>
      </c>
    </row>
    <row r="212" spans="1:28" s="1" customFormat="1" ht="13.5" thickBot="1">
      <c r="A212" s="103"/>
      <c r="B212" s="104"/>
      <c r="C212" s="104"/>
      <c r="D212" s="12" t="s">
        <v>83</v>
      </c>
      <c r="E212" s="33">
        <f t="shared" si="100"/>
        <v>37512.30000000002</v>
      </c>
      <c r="F212" s="33">
        <f t="shared" si="101"/>
        <v>4323.160000000001</v>
      </c>
      <c r="G212" s="33">
        <f t="shared" si="101"/>
        <v>10433.559999999998</v>
      </c>
      <c r="H212" s="33">
        <f t="shared" si="101"/>
        <v>14667.220000000003</v>
      </c>
      <c r="I212" s="33">
        <f t="shared" si="101"/>
        <v>8604.239999999994</v>
      </c>
      <c r="J212" s="33">
        <f t="shared" si="101"/>
        <v>2055.33</v>
      </c>
      <c r="K212" s="33">
        <f t="shared" si="101"/>
        <v>11209.009999999998</v>
      </c>
      <c r="L212" s="33">
        <f t="shared" si="101"/>
        <v>8941.009999999998</v>
      </c>
      <c r="M212" s="33">
        <f t="shared" si="101"/>
        <v>1194.1400000000008</v>
      </c>
      <c r="N212" s="33">
        <f t="shared" si="101"/>
        <v>7381.239999999999</v>
      </c>
      <c r="O212" s="33">
        <f t="shared" si="101"/>
        <v>27500.06</v>
      </c>
      <c r="P212" s="33">
        <f t="shared" si="101"/>
        <v>40492.01999999999</v>
      </c>
      <c r="Q212" s="33">
        <f t="shared" si="101"/>
        <v>7075.02</v>
      </c>
      <c r="R212" s="33">
        <f t="shared" si="101"/>
        <v>28391.659999999996</v>
      </c>
      <c r="S212" s="33">
        <f t="shared" si="101"/>
        <v>2246.680000000002</v>
      </c>
      <c r="T212" s="33">
        <f t="shared" si="101"/>
        <v>1787.5700000000033</v>
      </c>
      <c r="U212" s="33">
        <f t="shared" si="101"/>
        <v>4747.240000000002</v>
      </c>
      <c r="V212" s="33">
        <f t="shared" si="101"/>
        <v>20250.62</v>
      </c>
      <c r="W212" s="33">
        <f t="shared" si="101"/>
        <v>15701.34</v>
      </c>
      <c r="X212" s="33">
        <f t="shared" si="101"/>
        <v>9013.050000000005</v>
      </c>
      <c r="Y212" s="33">
        <f t="shared" si="101"/>
        <v>24178.87</v>
      </c>
      <c r="Z212" s="33">
        <f t="shared" si="101"/>
        <v>10688.869999999995</v>
      </c>
      <c r="AA212" s="89">
        <f t="shared" si="101"/>
        <v>5471.069999999995</v>
      </c>
      <c r="AB212" s="64">
        <f t="shared" si="101"/>
        <v>303865.28</v>
      </c>
    </row>
    <row r="213" spans="1:28" s="4" customFormat="1" ht="12.75">
      <c r="A213" s="99" t="s">
        <v>57</v>
      </c>
      <c r="B213" s="100"/>
      <c r="C213" s="100"/>
      <c r="D213" s="100"/>
      <c r="E213" s="31"/>
      <c r="F213" s="57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1"/>
      <c r="R213" s="31"/>
      <c r="S213" s="31"/>
      <c r="T213" s="31"/>
      <c r="U213" s="31"/>
      <c r="V213" s="31"/>
      <c r="W213" s="31"/>
      <c r="X213" s="31"/>
      <c r="Y213" s="31"/>
      <c r="Z213" s="31"/>
      <c r="AA213" s="60"/>
      <c r="AB213" s="62"/>
    </row>
    <row r="214" spans="1:28" s="4" customFormat="1" ht="12.75">
      <c r="A214" s="101"/>
      <c r="B214" s="102"/>
      <c r="C214" s="102"/>
      <c r="D214" s="10" t="s">
        <v>84</v>
      </c>
      <c r="E214" s="32">
        <f aca="true" t="shared" si="103" ref="E214:AA214">+E91+E170+E207</f>
        <v>3013283.53</v>
      </c>
      <c r="F214" s="32">
        <f t="shared" si="103"/>
        <v>433856.33</v>
      </c>
      <c r="G214" s="32">
        <f t="shared" si="103"/>
        <v>641544.37</v>
      </c>
      <c r="H214" s="32">
        <f t="shared" si="103"/>
        <v>1419582.05</v>
      </c>
      <c r="I214" s="32">
        <f t="shared" si="103"/>
        <v>689865.31</v>
      </c>
      <c r="J214" s="32">
        <f t="shared" si="103"/>
        <v>300706.816</v>
      </c>
      <c r="K214" s="32">
        <f t="shared" si="103"/>
        <v>790304.7</v>
      </c>
      <c r="L214" s="32">
        <f t="shared" si="103"/>
        <v>564624.74</v>
      </c>
      <c r="M214" s="32">
        <f t="shared" si="103"/>
        <v>193752.80000000005</v>
      </c>
      <c r="N214" s="32">
        <f t="shared" si="103"/>
        <v>555945.7400000001</v>
      </c>
      <c r="O214" s="32">
        <f t="shared" si="103"/>
        <v>2199967.3599999994</v>
      </c>
      <c r="P214" s="32">
        <f t="shared" si="103"/>
        <v>3802640.6100000003</v>
      </c>
      <c r="Q214" s="32">
        <f t="shared" si="103"/>
        <v>198748.06200000003</v>
      </c>
      <c r="R214" s="32">
        <f t="shared" si="103"/>
        <v>2874192.670000001</v>
      </c>
      <c r="S214" s="32">
        <f t="shared" si="103"/>
        <v>188118.297</v>
      </c>
      <c r="T214" s="32">
        <f t="shared" si="103"/>
        <v>189643.59000000003</v>
      </c>
      <c r="U214" s="32">
        <f t="shared" si="103"/>
        <v>420081.30999999994</v>
      </c>
      <c r="V214" s="32">
        <f t="shared" si="103"/>
        <v>1337530.6300000001</v>
      </c>
      <c r="W214" s="32">
        <f t="shared" si="103"/>
        <v>642479.15</v>
      </c>
      <c r="X214" s="32">
        <f t="shared" si="103"/>
        <v>983946.4099999999</v>
      </c>
      <c r="Y214" s="32">
        <f t="shared" si="103"/>
        <v>1658496.481</v>
      </c>
      <c r="Z214" s="32">
        <f t="shared" si="103"/>
        <v>1018367.56</v>
      </c>
      <c r="AA214" s="61">
        <f t="shared" si="103"/>
        <v>391065.01</v>
      </c>
      <c r="AB214" s="63">
        <f aca="true" t="shared" si="104" ref="AB214:AB219">SUM(E214:AA214)</f>
        <v>24508743.525999993</v>
      </c>
    </row>
    <row r="215" spans="1:28" s="4" customFormat="1" ht="12.75">
      <c r="A215" s="101"/>
      <c r="B215" s="102"/>
      <c r="C215" s="102"/>
      <c r="D215" s="10" t="s">
        <v>1</v>
      </c>
      <c r="E215" s="32">
        <f aca="true" t="shared" si="105" ref="E215:AA215">+E92+E171+E208</f>
        <v>8916812.580000002</v>
      </c>
      <c r="F215" s="32">
        <f t="shared" si="105"/>
        <v>5581586.87</v>
      </c>
      <c r="G215" s="32">
        <f t="shared" si="105"/>
        <v>5373367.46</v>
      </c>
      <c r="H215" s="32">
        <f t="shared" si="105"/>
        <v>5306143.59</v>
      </c>
      <c r="I215" s="32">
        <f t="shared" si="105"/>
        <v>4672128.99</v>
      </c>
      <c r="J215" s="32">
        <f t="shared" si="105"/>
        <v>1390968.15</v>
      </c>
      <c r="K215" s="32">
        <f t="shared" si="105"/>
        <v>1433890.59</v>
      </c>
      <c r="L215" s="32">
        <f t="shared" si="105"/>
        <v>5482312.59</v>
      </c>
      <c r="M215" s="32">
        <f t="shared" si="105"/>
        <v>1150647.15</v>
      </c>
      <c r="N215" s="32">
        <f t="shared" si="105"/>
        <v>1807283.5</v>
      </c>
      <c r="O215" s="32">
        <f t="shared" si="105"/>
        <v>10625670.069999998</v>
      </c>
      <c r="P215" s="32">
        <f t="shared" si="105"/>
        <v>19055092.74</v>
      </c>
      <c r="Q215" s="32">
        <f t="shared" si="105"/>
        <v>1668948.2199999997</v>
      </c>
      <c r="R215" s="32">
        <f t="shared" si="105"/>
        <v>10779153.35</v>
      </c>
      <c r="S215" s="32">
        <f t="shared" si="105"/>
        <v>2342500.7500000005</v>
      </c>
      <c r="T215" s="32">
        <f t="shared" si="105"/>
        <v>1858964.6400000001</v>
      </c>
      <c r="U215" s="32">
        <f t="shared" si="105"/>
        <v>2111307.06</v>
      </c>
      <c r="V215" s="32">
        <f t="shared" si="105"/>
        <v>5927597.9799999995</v>
      </c>
      <c r="W215" s="32">
        <f t="shared" si="105"/>
        <v>5764232.02</v>
      </c>
      <c r="X215" s="32">
        <f t="shared" si="105"/>
        <v>5826495.83</v>
      </c>
      <c r="Y215" s="32">
        <f t="shared" si="105"/>
        <v>5921537.350000001</v>
      </c>
      <c r="Z215" s="32">
        <f t="shared" si="105"/>
        <v>5643108.3</v>
      </c>
      <c r="AA215" s="61">
        <f t="shared" si="105"/>
        <v>5811355.859999999</v>
      </c>
      <c r="AB215" s="63">
        <f t="shared" si="104"/>
        <v>124451105.63999999</v>
      </c>
    </row>
    <row r="216" spans="1:28" s="4" customFormat="1" ht="12.75">
      <c r="A216" s="101"/>
      <c r="B216" s="102"/>
      <c r="C216" s="102"/>
      <c r="D216" s="10" t="s">
        <v>2</v>
      </c>
      <c r="E216" s="32">
        <f aca="true" t="shared" si="106" ref="E216:AA216">+E93+E172+E209</f>
        <v>10118317.23</v>
      </c>
      <c r="F216" s="32">
        <f t="shared" si="106"/>
        <v>5623383.62</v>
      </c>
      <c r="G216" s="32">
        <f t="shared" si="106"/>
        <v>6038791.41</v>
      </c>
      <c r="H216" s="32">
        <f t="shared" si="106"/>
        <v>5790121.37</v>
      </c>
      <c r="I216" s="32">
        <f t="shared" si="106"/>
        <v>4364331.44</v>
      </c>
      <c r="J216" s="32">
        <f t="shared" si="106"/>
        <v>1349147.8</v>
      </c>
      <c r="K216" s="32">
        <f t="shared" si="106"/>
        <v>1212497.93</v>
      </c>
      <c r="L216" s="32">
        <f t="shared" si="106"/>
        <v>6076840.22</v>
      </c>
      <c r="M216" s="32">
        <f t="shared" si="106"/>
        <v>1387435.9000000001</v>
      </c>
      <c r="N216" s="32">
        <f t="shared" si="106"/>
        <v>1924571.55</v>
      </c>
      <c r="O216" s="32">
        <f t="shared" si="106"/>
        <v>11660728.159999998</v>
      </c>
      <c r="P216" s="32">
        <f t="shared" si="106"/>
        <v>22063268.46</v>
      </c>
      <c r="Q216" s="32">
        <f t="shared" si="106"/>
        <v>1566073.5800000003</v>
      </c>
      <c r="R216" s="32">
        <f t="shared" si="106"/>
        <v>11758779.049999999</v>
      </c>
      <c r="S216" s="32">
        <f t="shared" si="106"/>
        <v>2228771.7300000004</v>
      </c>
      <c r="T216" s="32">
        <f t="shared" si="106"/>
        <v>2337433.87</v>
      </c>
      <c r="U216" s="32">
        <f t="shared" si="106"/>
        <v>1816880.73</v>
      </c>
      <c r="V216" s="32">
        <f t="shared" si="106"/>
        <v>5484244.199999999</v>
      </c>
      <c r="W216" s="32">
        <f t="shared" si="106"/>
        <v>5688277.07</v>
      </c>
      <c r="X216" s="32">
        <f t="shared" si="106"/>
        <v>5655342.800000001</v>
      </c>
      <c r="Y216" s="32">
        <f t="shared" si="106"/>
        <v>5471861.659999999</v>
      </c>
      <c r="Z216" s="32">
        <f t="shared" si="106"/>
        <v>6197248.9399999995</v>
      </c>
      <c r="AA216" s="61">
        <f t="shared" si="106"/>
        <v>5581609.29</v>
      </c>
      <c r="AB216" s="63">
        <f t="shared" si="104"/>
        <v>131395958.01000002</v>
      </c>
    </row>
    <row r="217" spans="1:28" s="4" customFormat="1" ht="12.75">
      <c r="A217" s="101"/>
      <c r="B217" s="102"/>
      <c r="C217" s="102"/>
      <c r="D217" s="10" t="s">
        <v>4</v>
      </c>
      <c r="E217" s="32">
        <f>+E94+E173+E210</f>
        <v>8455688.850000001</v>
      </c>
      <c r="F217" s="32">
        <f aca="true" t="shared" si="107" ref="F217:AA217">+F94+F173+F210</f>
        <v>5408803.640000001</v>
      </c>
      <c r="G217" s="32">
        <f t="shared" si="107"/>
        <v>5124123.55</v>
      </c>
      <c r="H217" s="32">
        <f t="shared" si="107"/>
        <v>5220665.7700000005</v>
      </c>
      <c r="I217" s="32">
        <f t="shared" si="107"/>
        <v>4500755.649999999</v>
      </c>
      <c r="J217" s="32">
        <f t="shared" si="107"/>
        <v>1308702.28</v>
      </c>
      <c r="K217" s="32">
        <f t="shared" si="107"/>
        <v>1353718.0100000002</v>
      </c>
      <c r="L217" s="32">
        <f t="shared" si="107"/>
        <v>5275929.390000001</v>
      </c>
      <c r="M217" s="32">
        <f t="shared" si="107"/>
        <v>1133496.34</v>
      </c>
      <c r="N217" s="32">
        <f t="shared" si="107"/>
        <v>1722309.1600000001</v>
      </c>
      <c r="O217" s="32">
        <f t="shared" si="107"/>
        <v>10036963.87</v>
      </c>
      <c r="P217" s="32">
        <f t="shared" si="107"/>
        <v>18537171.08</v>
      </c>
      <c r="Q217" s="32">
        <f t="shared" si="107"/>
        <v>1647478.4799999997</v>
      </c>
      <c r="R217" s="32">
        <f t="shared" si="107"/>
        <v>11750054.159999998</v>
      </c>
      <c r="S217" s="32">
        <f t="shared" si="107"/>
        <v>2225062.2300000004</v>
      </c>
      <c r="T217" s="32">
        <f t="shared" si="107"/>
        <v>1782335.34</v>
      </c>
      <c r="U217" s="32">
        <f t="shared" si="107"/>
        <v>2112353.5700000003</v>
      </c>
      <c r="V217" s="32">
        <f t="shared" si="107"/>
        <v>6512131.4799999995</v>
      </c>
      <c r="W217" s="32">
        <f t="shared" si="107"/>
        <v>6242350.149999999</v>
      </c>
      <c r="X217" s="32">
        <f t="shared" si="107"/>
        <v>5886547.130000001</v>
      </c>
      <c r="Y217" s="32">
        <f t="shared" si="107"/>
        <v>5847744.86</v>
      </c>
      <c r="Z217" s="32">
        <f t="shared" si="107"/>
        <v>5541605.98</v>
      </c>
      <c r="AA217" s="61">
        <f t="shared" si="107"/>
        <v>5706275.959999999</v>
      </c>
      <c r="AB217" s="63">
        <f t="shared" si="104"/>
        <v>123332266.93</v>
      </c>
    </row>
    <row r="218" spans="1:28" s="4" customFormat="1" ht="12.75">
      <c r="A218" s="101"/>
      <c r="B218" s="102"/>
      <c r="C218" s="102"/>
      <c r="D218" s="10" t="s">
        <v>3</v>
      </c>
      <c r="E218" s="32">
        <f aca="true" t="shared" si="108" ref="E218:AA218">+E95+E174+E211</f>
        <v>10118317.23</v>
      </c>
      <c r="F218" s="32">
        <f t="shared" si="108"/>
        <v>5623383.62</v>
      </c>
      <c r="G218" s="32">
        <f t="shared" si="108"/>
        <v>6038791.409999999</v>
      </c>
      <c r="H218" s="32">
        <f t="shared" si="108"/>
        <v>5790121.37</v>
      </c>
      <c r="I218" s="32">
        <f t="shared" si="108"/>
        <v>4364331.4399999995</v>
      </c>
      <c r="J218" s="32">
        <f t="shared" si="108"/>
        <v>1349147.8</v>
      </c>
      <c r="K218" s="32">
        <f t="shared" si="108"/>
        <v>1212497.93</v>
      </c>
      <c r="L218" s="32">
        <f t="shared" si="108"/>
        <v>6076840.219999999</v>
      </c>
      <c r="M218" s="32">
        <f t="shared" si="108"/>
        <v>1387435.9000000001</v>
      </c>
      <c r="N218" s="32">
        <f t="shared" si="108"/>
        <v>1924571.55</v>
      </c>
      <c r="O218" s="32">
        <f t="shared" si="108"/>
        <v>11660728.159999998</v>
      </c>
      <c r="P218" s="32">
        <f t="shared" si="108"/>
        <v>22063268.46</v>
      </c>
      <c r="Q218" s="32">
        <f t="shared" si="108"/>
        <v>1566073.5800000003</v>
      </c>
      <c r="R218" s="32">
        <f t="shared" si="108"/>
        <v>11758779.049999999</v>
      </c>
      <c r="S218" s="32">
        <f t="shared" si="108"/>
        <v>2228771.7270000004</v>
      </c>
      <c r="T218" s="32">
        <f t="shared" si="108"/>
        <v>2337433.87</v>
      </c>
      <c r="U218" s="32">
        <f t="shared" si="108"/>
        <v>1816880.73</v>
      </c>
      <c r="V218" s="32">
        <f t="shared" si="108"/>
        <v>5484244.199999999</v>
      </c>
      <c r="W218" s="32">
        <f t="shared" si="108"/>
        <v>5688277.07</v>
      </c>
      <c r="X218" s="32">
        <f t="shared" si="108"/>
        <v>5655342.800000001</v>
      </c>
      <c r="Y218" s="32">
        <f t="shared" si="108"/>
        <v>5471861.659999999</v>
      </c>
      <c r="Z218" s="32">
        <f t="shared" si="108"/>
        <v>6197248.9399999995</v>
      </c>
      <c r="AA218" s="61">
        <f t="shared" si="108"/>
        <v>5581609.29</v>
      </c>
      <c r="AB218" s="63">
        <f t="shared" si="104"/>
        <v>131395958.007</v>
      </c>
    </row>
    <row r="219" spans="1:28" s="1" customFormat="1" ht="13.5" thickBot="1">
      <c r="A219" s="103"/>
      <c r="B219" s="104"/>
      <c r="C219" s="104"/>
      <c r="D219" s="12" t="s">
        <v>83</v>
      </c>
      <c r="E219" s="33">
        <f>+E96+E175+E212</f>
        <v>1811778.8799999997</v>
      </c>
      <c r="F219" s="33">
        <f aca="true" t="shared" si="109" ref="F219:AA219">+F96+F175+F212</f>
        <v>392059.5799999998</v>
      </c>
      <c r="G219" s="33">
        <f t="shared" si="109"/>
        <v>-23879.58000000016</v>
      </c>
      <c r="H219" s="33">
        <f t="shared" si="109"/>
        <v>935604.2699999999</v>
      </c>
      <c r="I219" s="33">
        <f t="shared" si="109"/>
        <v>997662.8599999999</v>
      </c>
      <c r="J219" s="33">
        <f t="shared" si="109"/>
        <v>342527.16599999997</v>
      </c>
      <c r="K219" s="33">
        <f t="shared" si="109"/>
        <v>1011697.3599999999</v>
      </c>
      <c r="L219" s="33">
        <f t="shared" si="109"/>
        <v>-29902.889999999836</v>
      </c>
      <c r="M219" s="33">
        <f t="shared" si="109"/>
        <v>-43035.95000000007</v>
      </c>
      <c r="N219" s="33">
        <f t="shared" si="109"/>
        <v>438657.69000000006</v>
      </c>
      <c r="O219" s="33">
        <f t="shared" si="109"/>
        <v>1164909.2700000005</v>
      </c>
      <c r="P219" s="33">
        <f t="shared" si="109"/>
        <v>794464.8899999995</v>
      </c>
      <c r="Q219" s="33">
        <f t="shared" si="109"/>
        <v>301622.702</v>
      </c>
      <c r="R219" s="33">
        <f t="shared" si="109"/>
        <v>1894566.970000001</v>
      </c>
      <c r="S219" s="33">
        <f t="shared" si="109"/>
        <v>301847.317</v>
      </c>
      <c r="T219" s="33">
        <f t="shared" si="109"/>
        <v>-288825.63999999984</v>
      </c>
      <c r="U219" s="33">
        <f t="shared" si="109"/>
        <v>714507.6400000001</v>
      </c>
      <c r="V219" s="33">
        <f t="shared" si="109"/>
        <v>1780884.4100000001</v>
      </c>
      <c r="W219" s="33">
        <f t="shared" si="109"/>
        <v>718434.1</v>
      </c>
      <c r="X219" s="33">
        <f t="shared" si="109"/>
        <v>1155099.4399999997</v>
      </c>
      <c r="Y219" s="33">
        <f t="shared" si="109"/>
        <v>2108172.1710000006</v>
      </c>
      <c r="Z219" s="33">
        <f t="shared" si="109"/>
        <v>464226.9200000001</v>
      </c>
      <c r="AA219" s="89">
        <f t="shared" si="109"/>
        <v>620811.58</v>
      </c>
      <c r="AB219" s="64">
        <f t="shared" si="104"/>
        <v>17563891.156</v>
      </c>
    </row>
  </sheetData>
  <sheetProtection/>
  <mergeCells count="84">
    <mergeCell ref="C84:C89"/>
    <mergeCell ref="A24:A29"/>
    <mergeCell ref="C109:C114"/>
    <mergeCell ref="C60:C65"/>
    <mergeCell ref="A84:A89"/>
    <mergeCell ref="B84:B89"/>
    <mergeCell ref="B24:B41"/>
    <mergeCell ref="C24:C29"/>
    <mergeCell ref="A30:A35"/>
    <mergeCell ref="C30:C35"/>
    <mergeCell ref="C36:C41"/>
    <mergeCell ref="C54:C59"/>
    <mergeCell ref="A42:A47"/>
    <mergeCell ref="B42:B71"/>
    <mergeCell ref="C42:C47"/>
    <mergeCell ref="A48:A53"/>
    <mergeCell ref="A66:A71"/>
    <mergeCell ref="C66:C71"/>
    <mergeCell ref="C48:C53"/>
    <mergeCell ref="A1:AA1"/>
    <mergeCell ref="A2:AA2"/>
    <mergeCell ref="A3:A5"/>
    <mergeCell ref="B3:C5"/>
    <mergeCell ref="D3:D4"/>
    <mergeCell ref="E3:AA3"/>
    <mergeCell ref="A72:A77"/>
    <mergeCell ref="B72:B83"/>
    <mergeCell ref="C72:C77"/>
    <mergeCell ref="A78:A83"/>
    <mergeCell ref="C78:C83"/>
    <mergeCell ref="AB3:AB4"/>
    <mergeCell ref="A6:A11"/>
    <mergeCell ref="B6:B23"/>
    <mergeCell ref="C6:C11"/>
    <mergeCell ref="A18:A23"/>
    <mergeCell ref="C18:C23"/>
    <mergeCell ref="C12:C17"/>
    <mergeCell ref="A90:D90"/>
    <mergeCell ref="A91:C96"/>
    <mergeCell ref="A115:B132"/>
    <mergeCell ref="C115:C120"/>
    <mergeCell ref="C121:C126"/>
    <mergeCell ref="C127:C132"/>
    <mergeCell ref="A97:A102"/>
    <mergeCell ref="B97:B114"/>
    <mergeCell ref="C97:C102"/>
    <mergeCell ref="A103:A108"/>
    <mergeCell ref="C103:C108"/>
    <mergeCell ref="A109:A114"/>
    <mergeCell ref="A169:D169"/>
    <mergeCell ref="A170:C175"/>
    <mergeCell ref="A163:A168"/>
    <mergeCell ref="C163:C168"/>
    <mergeCell ref="B163:B168"/>
    <mergeCell ref="A151:A156"/>
    <mergeCell ref="B151:B156"/>
    <mergeCell ref="C151:C156"/>
    <mergeCell ref="B182:B187"/>
    <mergeCell ref="C182:C187"/>
    <mergeCell ref="A145:A150"/>
    <mergeCell ref="B145:B150"/>
    <mergeCell ref="C145:C150"/>
    <mergeCell ref="B157:B162"/>
    <mergeCell ref="C157:C162"/>
    <mergeCell ref="A176:A181"/>
    <mergeCell ref="B176:B181"/>
    <mergeCell ref="C176:C181"/>
    <mergeCell ref="A213:D213"/>
    <mergeCell ref="A214:C219"/>
    <mergeCell ref="A200:A205"/>
    <mergeCell ref="B200:B205"/>
    <mergeCell ref="C200:C205"/>
    <mergeCell ref="A206:D206"/>
    <mergeCell ref="A207:C212"/>
    <mergeCell ref="A188:A193"/>
    <mergeCell ref="B188:B193"/>
    <mergeCell ref="C188:C193"/>
    <mergeCell ref="A194:A199"/>
    <mergeCell ref="B194:B199"/>
    <mergeCell ref="C194:C199"/>
    <mergeCell ref="B133:B144"/>
    <mergeCell ref="C139:C144"/>
    <mergeCell ref="A133:A138"/>
    <mergeCell ref="C133:C138"/>
  </mergeCells>
  <printOptions horizontalCentered="1"/>
  <pageMargins left="0.1968503937007874" right="0.15748031496062992" top="0.3937007874015748" bottom="0.1968503937007874" header="0.15748031496062992" footer="0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Губинский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Техник</dc:creator>
  <cp:keywords/>
  <dc:description/>
  <cp:lastModifiedBy>User</cp:lastModifiedBy>
  <cp:lastPrinted>2019-03-14T06:26:37Z</cp:lastPrinted>
  <dcterms:created xsi:type="dcterms:W3CDTF">2010-01-22T08:23:34Z</dcterms:created>
  <dcterms:modified xsi:type="dcterms:W3CDTF">2019-03-21T06:24:59Z</dcterms:modified>
  <cp:category/>
  <cp:version/>
  <cp:contentType/>
  <cp:contentStatus/>
</cp:coreProperties>
</file>