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ж-ф 08 (9)" sheetId="1" r:id="rId1"/>
    <sheet name="ж-ф 08 (8)" sheetId="2" r:id="rId2"/>
  </sheets>
  <definedNames>
    <definedName name="_xlnm._FilterDatabase" localSheetId="1" hidden="1">'ж-ф 08 (8)'!$A$1:$C$12</definedName>
    <definedName name="_xlnm._FilterDatabase" localSheetId="0" hidden="1">'ж-ф 08 (9)'!$A$1:$C$24</definedName>
    <definedName name="SHARED_FORMULA_15_12_15_12_1">SUM(#REF!)</definedName>
    <definedName name="SHARED_FORMULA_15_32_15_32_1">SUM(#REF!)</definedName>
    <definedName name="SHARED_FORMULA_15_5_15_5_1">SUM(#REF!)</definedName>
    <definedName name="SHARED_FORMULA_2_39_2_39_1">SUM(#REF!)</definedName>
    <definedName name="SHARED_FORMULA_28_32_28_32_1">SUM(#REF!)</definedName>
    <definedName name="SHARED_FORMULA_28_5_28_5_1">SUM(#REF!)</definedName>
    <definedName name="SHARED_FORMULA_4_12_4_12_1">SUM(#REF!)</definedName>
    <definedName name="SHARED_FORMULA_41_32_41_32_1">SUM(#REF!)</definedName>
    <definedName name="SHARED_FORMULA_41_5_41_5_1">SUM(#REF!)</definedName>
    <definedName name="SHARED_FORMULA_43_32_43_32_1">SUM(#REF!,#REF!,#REF!)</definedName>
    <definedName name="SHARED_FORMULA_43_6_43_6_1">#REF!+#REF!+#REF!+#REF!</definedName>
    <definedName name="_xlnm.Print_Area" localSheetId="1">'ж-ф 08 (8)'!$A$2:$AS$26</definedName>
    <definedName name="_xlnm.Print_Area" localSheetId="0">'ж-ф 08 (9)'!$A$1:$BR$30</definedName>
  </definedNames>
  <calcPr fullCalcOnLoad="1"/>
</workbook>
</file>

<file path=xl/sharedStrings.xml><?xml version="1.0" encoding="utf-8"?>
<sst xmlns="http://schemas.openxmlformats.org/spreadsheetml/2006/main" count="288" uniqueCount="122">
  <si>
    <t>№</t>
  </si>
  <si>
    <t xml:space="preserve">Адрес дома </t>
  </si>
  <si>
    <t>Общая площадь,кв.м.</t>
  </si>
  <si>
    <t>Установка регистров</t>
  </si>
  <si>
    <t>Косметический ремонт подъезда</t>
  </si>
  <si>
    <t>Ремонт кровли</t>
  </si>
  <si>
    <t>Промывка системы отопления</t>
  </si>
  <si>
    <t>Замена общедомовых вентилей и сборок в техэтажах, галереях, чердаках, подъездах и эл.узлах</t>
  </si>
  <si>
    <t>Замена общедомовых трубопроводов ХГВС, ЦО и КНС на черную трубу в техэтажах, галереях, чердаках, подъездах и эл.узлах</t>
  </si>
  <si>
    <t>Замена трубопроводов КНС на ПВХ</t>
  </si>
  <si>
    <t>Квартал 60</t>
  </si>
  <si>
    <t>диаметр</t>
  </si>
  <si>
    <t>кол-во, м</t>
  </si>
  <si>
    <t>подъезд</t>
  </si>
  <si>
    <t>квартира</t>
  </si>
  <si>
    <t>Ленина 23</t>
  </si>
  <si>
    <t>Ленина 25</t>
  </si>
  <si>
    <t>Ленина 27</t>
  </si>
  <si>
    <t>Ленина 29</t>
  </si>
  <si>
    <t>Ленина 27/1</t>
  </si>
  <si>
    <t>Ярославского 24</t>
  </si>
  <si>
    <t>Ярославского 28</t>
  </si>
  <si>
    <t>Итого:</t>
  </si>
  <si>
    <t>Текущий ремонт</t>
  </si>
  <si>
    <t>АЗР</t>
  </si>
  <si>
    <t>Профилактический ремонт</t>
  </si>
  <si>
    <t>Обслуживание ОДПУ</t>
  </si>
  <si>
    <t>ВСЕГО</t>
  </si>
  <si>
    <t>январь</t>
  </si>
  <si>
    <t xml:space="preserve">ферваль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</si>
  <si>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</si>
  <si>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</si>
  <si>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</si>
  <si>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</si>
  <si>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</si>
  <si>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</si>
  <si>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</si>
  <si>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</si>
  <si>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</si>
  <si>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</si>
  <si>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</si>
  <si>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февраль</t>
  </si>
  <si>
    <t>Аварийно-заявочный ремонт включает:</t>
  </si>
  <si>
    <t>- круглосуточное аварийное прикрытие;</t>
  </si>
  <si>
    <t>- устранение течей системы ХГВС, КНС, отопления;</t>
  </si>
  <si>
    <t>- замена аварийных участков трубопровода ХГВС, КНС, отопления до 5 метров;</t>
  </si>
  <si>
    <t>- прочистка труб КНС;</t>
  </si>
  <si>
    <t>Профилактический ремонт:</t>
  </si>
  <si>
    <t>- поддержание нормального состояния инженерных реконструкций;</t>
  </si>
  <si>
    <t>- прочистка вентканалов, системы КНС;</t>
  </si>
  <si>
    <t>- мелкие плотницкие работы;</t>
  </si>
  <si>
    <t>Текущий ремонт: см. Приложение 1.</t>
  </si>
  <si>
    <t>Выполнение по санитарной очистке ООО "Вита-2" за 2011год.</t>
  </si>
  <si>
    <t>Уборка двора</t>
  </si>
  <si>
    <t>Уборка лестничной клетки</t>
  </si>
  <si>
    <t>Уборка мусопровода</t>
  </si>
  <si>
    <t>Оформления тех. Поспартов МКД</t>
  </si>
  <si>
    <t>всего</t>
  </si>
  <si>
    <t>Ревизия задвижек и грязевиков</t>
  </si>
  <si>
    <t>Установка греющего кабеля</t>
  </si>
  <si>
    <t>Замена задвижки</t>
  </si>
  <si>
    <t>Побелка ограждения сан.точки</t>
  </si>
  <si>
    <t>кол-во, шт</t>
  </si>
  <si>
    <t>Промывка центральной канализации</t>
  </si>
  <si>
    <t>м</t>
  </si>
  <si>
    <t>кол-во, м2</t>
  </si>
  <si>
    <t>Замена труб отопления на ППРС</t>
  </si>
  <si>
    <t>Утепление трубопроводов ХГВС, КНС, отопления</t>
  </si>
  <si>
    <t>Генеральная уборка в подъездах</t>
  </si>
  <si>
    <t>Мытье окон, мытье фасада, уборка под домом</t>
  </si>
  <si>
    <t>Сброс снега с крыши</t>
  </si>
  <si>
    <t>Утепление вентканала</t>
  </si>
  <si>
    <t xml:space="preserve">Установка входных дверей </t>
  </si>
  <si>
    <t>Ревизия запорной арматуры с заменой</t>
  </si>
  <si>
    <t>Ревизия вентилей д=15-50</t>
  </si>
  <si>
    <t>Ремонт кровли балкона</t>
  </si>
  <si>
    <t>Замена трубопроводов ХГВС  на ППРС</t>
  </si>
  <si>
    <t>Смена вентилей, сгонов, отводов</t>
  </si>
  <si>
    <t>Утепление межпанельных швов</t>
  </si>
  <si>
    <t>кол-во, м3</t>
  </si>
  <si>
    <t xml:space="preserve">диаметр </t>
  </si>
  <si>
    <t>пог. м.</t>
  </si>
  <si>
    <t>Ремонт, утепление входных дверей</t>
  </si>
  <si>
    <t>Установка доводчика, пружины</t>
  </si>
  <si>
    <t>Установка ПУ</t>
  </si>
  <si>
    <t>Ремонт чердачных люков</t>
  </si>
  <si>
    <t>Ремонт крыльца</t>
  </si>
  <si>
    <t>Установка фильтров</t>
  </si>
  <si>
    <t>Замена стекол</t>
  </si>
  <si>
    <t>Ревизия эл/узла</t>
  </si>
  <si>
    <t>Утепление подъезда</t>
  </si>
  <si>
    <t>да</t>
  </si>
  <si>
    <t>д=25</t>
  </si>
  <si>
    <t>п.2</t>
  </si>
  <si>
    <t>д=110</t>
  </si>
  <si>
    <t>кв.27</t>
  </si>
  <si>
    <t>кв.28</t>
  </si>
  <si>
    <t>п.1</t>
  </si>
  <si>
    <t>д=50</t>
  </si>
  <si>
    <t>магист(хгвс)</t>
  </si>
  <si>
    <t>Кол-во, м</t>
  </si>
  <si>
    <t>п.1,2</t>
  </si>
  <si>
    <t>Замена труб ливневой канализации</t>
  </si>
  <si>
    <t>д=63</t>
  </si>
  <si>
    <t>д=20</t>
  </si>
  <si>
    <t>кв.62</t>
  </si>
  <si>
    <t>д=32</t>
  </si>
  <si>
    <t>кв.1,5,9,13,17</t>
  </si>
  <si>
    <t>Ремонт ограждения цоколя</t>
  </si>
  <si>
    <t>кв.4</t>
  </si>
  <si>
    <t>кв.1</t>
  </si>
  <si>
    <t>Выполнение по техническому обслуживанию ООО "Вита-2" за 2018 год</t>
  </si>
  <si>
    <t>Уборка и вывоз снега с придомовой территории</t>
  </si>
  <si>
    <t>д=108</t>
  </si>
  <si>
    <t>кв.51(черд.)</t>
  </si>
  <si>
    <t>э/у</t>
  </si>
  <si>
    <t>кв.7</t>
  </si>
  <si>
    <t>Проведение испытаний и электрических испытаний в электроустановках</t>
  </si>
  <si>
    <t>кв.31,32</t>
  </si>
  <si>
    <t>Ремонт фасада</t>
  </si>
  <si>
    <t>Покупка ПУ</t>
  </si>
  <si>
    <t>Поверка ПУ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</si>
</sst>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\ * #,##0.00\ ;\ * \(#,##0.00\);\ * \-#\ ;@\ "/>
    <numFmt numFmtId="181" formatCode="_(* #,##0.00_);_(* \(#,##0.00\);_(* \-??_);_(@_)"/>
    <numFmt numFmtId="182" formatCode="_(* #,##0.00_);_(* \(#,##0.00\);_(* &quot;-&quot;??_);_(@_)"/>
    <numFmt numFmtId="183" formatCode="0.0"/>
  </numFmts>
  <fonts count="45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0" fontId="5" fillId="0" borderId="10" xfId="58" applyFont="1" applyFill="1" applyBorder="1" applyAlignment="1" applyProtection="1">
      <alignment/>
      <protection/>
    </xf>
    <xf numFmtId="180" fontId="1" fillId="0" borderId="10" xfId="58" applyFont="1" applyFill="1" applyBorder="1" applyAlignment="1" applyProtection="1">
      <alignment/>
      <protection/>
    </xf>
    <xf numFmtId="180" fontId="6" fillId="0" borderId="10" xfId="58" applyFont="1" applyFill="1" applyBorder="1" applyAlignment="1" applyProtection="1">
      <alignment/>
      <protection/>
    </xf>
    <xf numFmtId="180" fontId="1" fillId="0" borderId="0" xfId="58" applyFont="1" applyFill="1" applyBorder="1" applyAlignment="1" applyProtection="1">
      <alignment/>
      <protection/>
    </xf>
    <xf numFmtId="18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80" fontId="6" fillId="0" borderId="0" xfId="58" applyFont="1" applyFill="1" applyBorder="1" applyAlignment="1" applyProtection="1">
      <alignment horizontal="center"/>
      <protection/>
    </xf>
    <xf numFmtId="180" fontId="5" fillId="0" borderId="0" xfId="58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>
      <alignment horizontal="center" vertical="center" wrapText="1"/>
    </xf>
    <xf numFmtId="180" fontId="5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0" fontId="1" fillId="0" borderId="10" xfId="58" applyFont="1" applyFill="1" applyBorder="1" applyAlignment="1" applyProtection="1">
      <alignment horizontal="center"/>
      <protection/>
    </xf>
    <xf numFmtId="180" fontId="6" fillId="0" borderId="10" xfId="58" applyFont="1" applyFill="1" applyBorder="1" applyAlignment="1" applyProtection="1">
      <alignment horizontal="center"/>
      <protection/>
    </xf>
    <xf numFmtId="180" fontId="1" fillId="0" borderId="0" xfId="58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0" fontId="1" fillId="34" borderId="10" xfId="58" applyFont="1" applyFill="1" applyBorder="1" applyAlignment="1" applyProtection="1">
      <alignment horizontal="center"/>
      <protection/>
    </xf>
    <xf numFmtId="180" fontId="6" fillId="34" borderId="10" xfId="58" applyFont="1" applyFill="1" applyBorder="1" applyAlignment="1" applyProtection="1">
      <alignment horizontal="center"/>
      <protection/>
    </xf>
    <xf numFmtId="180" fontId="6" fillId="34" borderId="19" xfId="58" applyFont="1" applyFill="1" applyBorder="1" applyAlignment="1" applyProtection="1">
      <alignment/>
      <protection/>
    </xf>
    <xf numFmtId="180" fontId="6" fillId="34" borderId="10" xfId="58" applyFont="1" applyFill="1" applyBorder="1" applyAlignment="1" applyProtection="1">
      <alignment/>
      <protection/>
    </xf>
    <xf numFmtId="180" fontId="1" fillId="34" borderId="10" xfId="58" applyFont="1" applyFill="1" applyBorder="1" applyAlignment="1">
      <alignment horizontal="center"/>
    </xf>
    <xf numFmtId="180" fontId="6" fillId="34" borderId="20" xfId="58" applyFont="1" applyFill="1" applyBorder="1" applyAlignment="1" applyProtection="1">
      <alignment/>
      <protection/>
    </xf>
    <xf numFmtId="180" fontId="1" fillId="34" borderId="18" xfId="58" applyFont="1" applyFill="1" applyBorder="1" applyAlignment="1">
      <alignment horizontal="center"/>
    </xf>
    <xf numFmtId="180" fontId="1" fillId="34" borderId="18" xfId="58" applyFont="1" applyFill="1" applyBorder="1" applyAlignment="1">
      <alignment horizontal="center" vertical="center" wrapText="1"/>
    </xf>
    <xf numFmtId="180" fontId="1" fillId="34" borderId="10" xfId="58" applyFont="1" applyFill="1" applyBorder="1" applyAlignment="1" applyProtection="1">
      <alignment/>
      <protection/>
    </xf>
    <xf numFmtId="180" fontId="6" fillId="34" borderId="11" xfId="58" applyFont="1" applyFill="1" applyBorder="1" applyAlignment="1" applyProtection="1">
      <alignment/>
      <protection/>
    </xf>
    <xf numFmtId="180" fontId="6" fillId="34" borderId="21" xfId="58" applyFont="1" applyFill="1" applyBorder="1" applyAlignment="1" applyProtection="1">
      <alignment/>
      <protection/>
    </xf>
    <xf numFmtId="180" fontId="6" fillId="34" borderId="22" xfId="58" applyFont="1" applyFill="1" applyBorder="1" applyAlignment="1" applyProtection="1">
      <alignment/>
      <protection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0" fontId="1" fillId="36" borderId="18" xfId="0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vertical="center" wrapText="1"/>
    </xf>
    <xf numFmtId="0" fontId="0" fillId="37" borderId="18" xfId="0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vertical="center" wrapText="1"/>
    </xf>
    <xf numFmtId="0" fontId="0" fillId="38" borderId="18" xfId="0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180" fontId="1" fillId="34" borderId="10" xfId="58" applyNumberFormat="1" applyFont="1" applyFill="1" applyBorder="1" applyAlignment="1">
      <alignment/>
    </xf>
    <xf numFmtId="180" fontId="1" fillId="34" borderId="10" xfId="58" applyNumberFormat="1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1" fillId="38" borderId="24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T24"/>
  <sheetViews>
    <sheetView tabSelected="1" zoomScale="70" zoomScaleNormal="70" zoomScalePageLayoutView="0" workbookViewId="0" topLeftCell="A1">
      <pane xSplit="3" ySplit="5" topLeftCell="AM6" activePane="bottomRight" state="frozen"/>
      <selection pane="topLeft" activeCell="A1" sqref="A1"/>
      <selection pane="topRight" activeCell="Y1" sqref="Y1"/>
      <selection pane="bottomLeft" activeCell="A9" sqref="A9"/>
      <selection pane="bottomRight" activeCell="BQ23" sqref="BQ22:BQ23"/>
    </sheetView>
  </sheetViews>
  <sheetFormatPr defaultColWidth="9.140625" defaultRowHeight="14.25" customHeight="1"/>
  <cols>
    <col min="1" max="1" width="6.28125" style="1" customWidth="1"/>
    <col min="2" max="2" width="19.7109375" style="1" customWidth="1"/>
    <col min="3" max="3" width="9.140625" style="51" customWidth="1"/>
    <col min="4" max="4" width="7.7109375" style="1" hidden="1" customWidth="1"/>
    <col min="5" max="5" width="7.140625" style="1" hidden="1" customWidth="1"/>
    <col min="6" max="6" width="7.57421875" style="1" hidden="1" customWidth="1"/>
    <col min="7" max="7" width="7.7109375" style="1" customWidth="1"/>
    <col min="8" max="8" width="7.00390625" style="1" customWidth="1"/>
    <col min="9" max="9" width="7.8515625" style="1" hidden="1" customWidth="1"/>
    <col min="10" max="10" width="7.00390625" style="1" hidden="1" customWidth="1"/>
    <col min="11" max="11" width="6.8515625" style="53" hidden="1" customWidth="1"/>
    <col min="12" max="12" width="8.00390625" style="74" hidden="1" customWidth="1"/>
    <col min="13" max="13" width="11.28125" style="1" hidden="1" customWidth="1"/>
    <col min="14" max="14" width="9.57421875" style="1" customWidth="1"/>
    <col min="15" max="15" width="12.00390625" style="1" hidden="1" customWidth="1"/>
    <col min="16" max="17" width="9.421875" style="1" customWidth="1"/>
    <col min="18" max="19" width="9.421875" style="1" hidden="1" customWidth="1"/>
    <col min="20" max="20" width="9.421875" style="1" customWidth="1"/>
    <col min="21" max="23" width="8.7109375" style="1" hidden="1" customWidth="1"/>
    <col min="24" max="24" width="10.8515625" style="1" customWidth="1"/>
    <col min="25" max="25" width="9.421875" style="1" customWidth="1"/>
    <col min="26" max="26" width="8.140625" style="1" customWidth="1"/>
    <col min="27" max="27" width="9.421875" style="1" customWidth="1"/>
    <col min="28" max="28" width="9.8515625" style="1" customWidth="1"/>
    <col min="29" max="29" width="7.421875" style="1" customWidth="1"/>
    <col min="30" max="30" width="9.00390625" style="1" customWidth="1"/>
    <col min="31" max="31" width="9.140625" style="2" customWidth="1"/>
    <col min="32" max="32" width="7.7109375" style="2" customWidth="1"/>
    <col min="33" max="33" width="8.28125" style="1" customWidth="1"/>
    <col min="34" max="34" width="7.7109375" style="1" customWidth="1"/>
    <col min="35" max="35" width="8.8515625" style="1" customWidth="1"/>
    <col min="36" max="37" width="7.421875" style="1" customWidth="1"/>
    <col min="38" max="38" width="9.8515625" style="1" customWidth="1"/>
    <col min="39" max="39" width="7.7109375" style="3" customWidth="1"/>
    <col min="40" max="40" width="7.00390625" style="1" customWidth="1"/>
    <col min="41" max="41" width="8.28125" style="1" customWidth="1"/>
    <col min="42" max="42" width="9.140625" style="2" customWidth="1"/>
    <col min="43" max="43" width="6.7109375" style="2" customWidth="1"/>
    <col min="44" max="44" width="13.421875" style="1" customWidth="1"/>
    <col min="45" max="45" width="7.7109375" style="1" customWidth="1"/>
    <col min="46" max="46" width="6.421875" style="1" customWidth="1"/>
    <col min="47" max="47" width="8.7109375" style="1" customWidth="1"/>
    <col min="48" max="49" width="13.421875" style="1" hidden="1" customWidth="1"/>
    <col min="50" max="50" width="13.421875" style="1" customWidth="1"/>
    <col min="51" max="51" width="9.140625" style="2" customWidth="1"/>
    <col min="52" max="52" width="7.7109375" style="1" hidden="1" customWidth="1"/>
    <col min="53" max="53" width="7.57421875" style="1" hidden="1" customWidth="1"/>
    <col min="54" max="55" width="9.421875" style="1" hidden="1" customWidth="1"/>
    <col min="56" max="56" width="8.00390625" style="1" hidden="1" customWidth="1"/>
    <col min="57" max="57" width="9.421875" style="1" hidden="1" customWidth="1"/>
    <col min="58" max="58" width="7.57421875" style="1" hidden="1" customWidth="1"/>
    <col min="59" max="59" width="7.8515625" style="1" hidden="1" customWidth="1"/>
    <col min="60" max="61" width="7.8515625" style="1" customWidth="1"/>
    <col min="62" max="62" width="9.421875" style="1" hidden="1" customWidth="1"/>
    <col min="63" max="63" width="15.28125" style="1" customWidth="1"/>
    <col min="64" max="64" width="9.421875" style="1" hidden="1" customWidth="1"/>
    <col min="65" max="65" width="8.57421875" style="1" hidden="1" customWidth="1"/>
    <col min="66" max="66" width="8.421875" style="1" hidden="1" customWidth="1"/>
    <col min="67" max="67" width="10.8515625" style="1" customWidth="1"/>
    <col min="68" max="68" width="9.140625" style="2" hidden="1" customWidth="1"/>
    <col min="69" max="69" width="9.140625" style="2" customWidth="1"/>
    <col min="70" max="70" width="8.00390625" style="52" customWidth="1"/>
    <col min="71" max="16384" width="9.140625" style="2" customWidth="1"/>
  </cols>
  <sheetData>
    <row r="1" spans="1:67" ht="15" customHeight="1">
      <c r="A1" s="3"/>
      <c r="B1" s="4"/>
      <c r="C1" s="50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G1" s="4"/>
      <c r="AH1" s="4"/>
      <c r="AI1" s="4"/>
      <c r="AJ1" s="4"/>
      <c r="AK1" s="4"/>
      <c r="AL1" s="4"/>
      <c r="AM1" s="4"/>
      <c r="AN1" s="4"/>
      <c r="AO1" s="4"/>
      <c r="AR1" s="4"/>
      <c r="AS1" s="4"/>
      <c r="AT1" s="4"/>
      <c r="AU1" s="4"/>
      <c r="AV1" s="4"/>
      <c r="AW1" s="4"/>
      <c r="AX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ht="15" customHeight="1">
      <c r="A2" s="143"/>
      <c r="B2" s="143"/>
      <c r="C2" s="143"/>
      <c r="D2" s="5"/>
      <c r="E2" s="5"/>
      <c r="F2" s="5"/>
      <c r="G2" s="4"/>
      <c r="H2" s="4"/>
      <c r="I2" s="4"/>
      <c r="J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G2" s="4"/>
      <c r="AH2" s="4"/>
      <c r="AI2" s="4"/>
      <c r="AJ2" s="4"/>
      <c r="AK2" s="4"/>
      <c r="AL2" s="4"/>
      <c r="AM2" s="4"/>
      <c r="AN2" s="4"/>
      <c r="AO2" s="4"/>
      <c r="AR2" s="4"/>
      <c r="AS2" s="4"/>
      <c r="AT2" s="4"/>
      <c r="AU2" s="4"/>
      <c r="AV2" s="4"/>
      <c r="AW2" s="4"/>
      <c r="AX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2.75" customHeight="1">
      <c r="A3" s="144"/>
      <c r="B3" s="144"/>
      <c r="C3" s="144"/>
      <c r="D3" s="6"/>
      <c r="E3" s="6"/>
      <c r="F3" s="6"/>
      <c r="G3" s="4"/>
      <c r="H3" s="4"/>
      <c r="I3" s="4"/>
      <c r="J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G3" s="4"/>
      <c r="AH3" s="4"/>
      <c r="AI3" s="4"/>
      <c r="AJ3" s="4"/>
      <c r="AK3" s="4"/>
      <c r="AL3" s="4"/>
      <c r="AM3" s="4"/>
      <c r="AN3" s="4"/>
      <c r="AO3" s="4"/>
      <c r="AR3" s="4"/>
      <c r="AS3" s="4"/>
      <c r="AT3" s="4"/>
      <c r="AU3" s="4"/>
      <c r="AV3" s="4"/>
      <c r="AW3" s="4"/>
      <c r="AX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70" ht="66.75" customHeight="1">
      <c r="A4" s="7" t="s">
        <v>0</v>
      </c>
      <c r="B4" s="8" t="s">
        <v>1</v>
      </c>
      <c r="C4" s="43" t="s">
        <v>2</v>
      </c>
      <c r="D4" s="152" t="s">
        <v>3</v>
      </c>
      <c r="E4" s="152"/>
      <c r="F4" s="152"/>
      <c r="G4" s="152" t="s">
        <v>60</v>
      </c>
      <c r="H4" s="152"/>
      <c r="I4" s="136" t="s">
        <v>87</v>
      </c>
      <c r="J4" s="137"/>
      <c r="K4" s="153" t="s">
        <v>71</v>
      </c>
      <c r="L4" s="153"/>
      <c r="M4" s="43" t="s">
        <v>4</v>
      </c>
      <c r="N4" s="43" t="s">
        <v>6</v>
      </c>
      <c r="O4" s="43" t="s">
        <v>63</v>
      </c>
      <c r="P4" s="152" t="s">
        <v>72</v>
      </c>
      <c r="Q4" s="152"/>
      <c r="R4" s="152" t="s">
        <v>82</v>
      </c>
      <c r="S4" s="152"/>
      <c r="T4" s="43" t="s">
        <v>89</v>
      </c>
      <c r="U4" s="43" t="s">
        <v>73</v>
      </c>
      <c r="V4" s="43" t="s">
        <v>58</v>
      </c>
      <c r="W4" s="43" t="s">
        <v>74</v>
      </c>
      <c r="X4" s="152" t="s">
        <v>5</v>
      </c>
      <c r="Y4" s="152"/>
      <c r="Z4" s="152" t="s">
        <v>75</v>
      </c>
      <c r="AA4" s="152"/>
      <c r="AB4" s="152" t="s">
        <v>8</v>
      </c>
      <c r="AC4" s="152"/>
      <c r="AD4" s="152"/>
      <c r="AE4" s="152" t="s">
        <v>7</v>
      </c>
      <c r="AF4" s="152"/>
      <c r="AG4" s="152" t="s">
        <v>66</v>
      </c>
      <c r="AH4" s="152"/>
      <c r="AI4" s="152"/>
      <c r="AJ4" s="152" t="s">
        <v>76</v>
      </c>
      <c r="AK4" s="152"/>
      <c r="AL4" s="152"/>
      <c r="AM4" s="152" t="s">
        <v>9</v>
      </c>
      <c r="AN4" s="152"/>
      <c r="AO4" s="152"/>
      <c r="AP4" s="153" t="s">
        <v>59</v>
      </c>
      <c r="AQ4" s="153"/>
      <c r="AR4" s="43" t="s">
        <v>67</v>
      </c>
      <c r="AS4" s="136" t="s">
        <v>102</v>
      </c>
      <c r="AT4" s="157"/>
      <c r="AU4" s="137"/>
      <c r="AV4" s="43" t="s">
        <v>68</v>
      </c>
      <c r="AW4" s="43" t="s">
        <v>69</v>
      </c>
      <c r="AX4" s="43" t="s">
        <v>112</v>
      </c>
      <c r="AY4" s="42" t="s">
        <v>70</v>
      </c>
      <c r="AZ4" s="152" t="s">
        <v>77</v>
      </c>
      <c r="BA4" s="152"/>
      <c r="BB4" s="152" t="s">
        <v>78</v>
      </c>
      <c r="BC4" s="152"/>
      <c r="BD4" s="136" t="s">
        <v>88</v>
      </c>
      <c r="BE4" s="137"/>
      <c r="BF4" s="136" t="s">
        <v>83</v>
      </c>
      <c r="BG4" s="137"/>
      <c r="BH4" s="102" t="s">
        <v>121</v>
      </c>
      <c r="BI4" s="102" t="s">
        <v>120</v>
      </c>
      <c r="BJ4" s="102" t="s">
        <v>84</v>
      </c>
      <c r="BK4" s="126" t="s">
        <v>117</v>
      </c>
      <c r="BL4" s="102" t="s">
        <v>85</v>
      </c>
      <c r="BM4" s="136" t="s">
        <v>90</v>
      </c>
      <c r="BN4" s="137"/>
      <c r="BO4" s="43" t="s">
        <v>119</v>
      </c>
      <c r="BP4" s="42" t="s">
        <v>61</v>
      </c>
      <c r="BQ4" s="42" t="s">
        <v>108</v>
      </c>
      <c r="BR4" s="42" t="s">
        <v>86</v>
      </c>
    </row>
    <row r="5" spans="1:98" s="9" customFormat="1" ht="23.25" customHeight="1">
      <c r="A5" s="7"/>
      <c r="B5" s="8" t="s">
        <v>10</v>
      </c>
      <c r="C5" s="43"/>
      <c r="D5" s="43" t="s">
        <v>11</v>
      </c>
      <c r="E5" s="43" t="s">
        <v>62</v>
      </c>
      <c r="F5" s="43" t="s">
        <v>13</v>
      </c>
      <c r="G5" s="43" t="s">
        <v>11</v>
      </c>
      <c r="H5" s="43" t="s">
        <v>62</v>
      </c>
      <c r="I5" s="43" t="s">
        <v>11</v>
      </c>
      <c r="J5" s="43" t="s">
        <v>62</v>
      </c>
      <c r="K5" s="42" t="s">
        <v>79</v>
      </c>
      <c r="L5" s="54" t="s">
        <v>14</v>
      </c>
      <c r="M5" s="43" t="s">
        <v>13</v>
      </c>
      <c r="N5" s="43"/>
      <c r="O5" s="43" t="s">
        <v>64</v>
      </c>
      <c r="P5" s="43" t="s">
        <v>62</v>
      </c>
      <c r="Q5" s="43" t="s">
        <v>13</v>
      </c>
      <c r="R5" s="43" t="s">
        <v>62</v>
      </c>
      <c r="S5" s="43" t="s">
        <v>13</v>
      </c>
      <c r="T5" s="43"/>
      <c r="U5" s="43" t="s">
        <v>62</v>
      </c>
      <c r="V5" s="43" t="s">
        <v>62</v>
      </c>
      <c r="W5" s="43" t="s">
        <v>62</v>
      </c>
      <c r="X5" s="43" t="s">
        <v>65</v>
      </c>
      <c r="Y5" s="43" t="s">
        <v>14</v>
      </c>
      <c r="Z5" s="43" t="s">
        <v>65</v>
      </c>
      <c r="AA5" s="43" t="s">
        <v>14</v>
      </c>
      <c r="AB5" s="43" t="s">
        <v>80</v>
      </c>
      <c r="AC5" s="43" t="s">
        <v>12</v>
      </c>
      <c r="AD5" s="43" t="s">
        <v>13</v>
      </c>
      <c r="AE5" s="43" t="s">
        <v>80</v>
      </c>
      <c r="AF5" s="43" t="s">
        <v>62</v>
      </c>
      <c r="AG5" s="43" t="s">
        <v>11</v>
      </c>
      <c r="AH5" s="43" t="s">
        <v>12</v>
      </c>
      <c r="AI5" s="43" t="s">
        <v>14</v>
      </c>
      <c r="AJ5" s="43" t="s">
        <v>80</v>
      </c>
      <c r="AK5" s="43" t="s">
        <v>12</v>
      </c>
      <c r="AL5" s="43" t="s">
        <v>14</v>
      </c>
      <c r="AM5" s="43" t="s">
        <v>80</v>
      </c>
      <c r="AN5" s="43" t="s">
        <v>12</v>
      </c>
      <c r="AO5" s="43" t="s">
        <v>14</v>
      </c>
      <c r="AP5" s="43" t="s">
        <v>14</v>
      </c>
      <c r="AQ5" s="42" t="s">
        <v>12</v>
      </c>
      <c r="AR5" s="43" t="s">
        <v>79</v>
      </c>
      <c r="AS5" s="43" t="s">
        <v>11</v>
      </c>
      <c r="AT5" s="43" t="s">
        <v>100</v>
      </c>
      <c r="AU5" s="43" t="s">
        <v>13</v>
      </c>
      <c r="AV5" s="43"/>
      <c r="AW5" s="43"/>
      <c r="AX5" s="43" t="s">
        <v>79</v>
      </c>
      <c r="AY5" s="42"/>
      <c r="AZ5" s="43" t="s">
        <v>11</v>
      </c>
      <c r="BA5" s="43" t="s">
        <v>62</v>
      </c>
      <c r="BB5" s="43" t="s">
        <v>81</v>
      </c>
      <c r="BC5" s="43" t="s">
        <v>14</v>
      </c>
      <c r="BD5" s="43" t="s">
        <v>65</v>
      </c>
      <c r="BE5" s="43" t="s">
        <v>13</v>
      </c>
      <c r="BF5" s="43" t="s">
        <v>62</v>
      </c>
      <c r="BG5" s="43" t="s">
        <v>13</v>
      </c>
      <c r="BH5" s="43" t="s">
        <v>62</v>
      </c>
      <c r="BI5" s="43" t="s">
        <v>62</v>
      </c>
      <c r="BJ5" s="43" t="s">
        <v>62</v>
      </c>
      <c r="BK5" s="127"/>
      <c r="BL5" s="43" t="s">
        <v>13</v>
      </c>
      <c r="BM5" s="43" t="s">
        <v>79</v>
      </c>
      <c r="BN5" s="43" t="s">
        <v>13</v>
      </c>
      <c r="BO5" s="43" t="s">
        <v>65</v>
      </c>
      <c r="BP5" s="43"/>
      <c r="BQ5" s="43" t="s">
        <v>12</v>
      </c>
      <c r="BR5" s="54" t="s">
        <v>13</v>
      </c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</row>
    <row r="6" spans="1:98" ht="11.25" customHeight="1">
      <c r="A6" s="145">
        <v>1</v>
      </c>
      <c r="B6" s="145" t="s">
        <v>15</v>
      </c>
      <c r="C6" s="149">
        <v>3326.6</v>
      </c>
      <c r="D6" s="79"/>
      <c r="E6" s="79"/>
      <c r="F6" s="79"/>
      <c r="G6" s="79"/>
      <c r="H6" s="79"/>
      <c r="I6" s="79"/>
      <c r="J6" s="79"/>
      <c r="K6" s="79"/>
      <c r="L6" s="80"/>
      <c r="M6" s="79"/>
      <c r="N6" s="123" t="s">
        <v>91</v>
      </c>
      <c r="O6" s="123"/>
      <c r="P6" s="79"/>
      <c r="Q6" s="79"/>
      <c r="R6" s="79"/>
      <c r="S6" s="79"/>
      <c r="T6" s="123" t="s">
        <v>91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81"/>
      <c r="AF6" s="81"/>
      <c r="AG6" s="79"/>
      <c r="AH6" s="79"/>
      <c r="AI6" s="79"/>
      <c r="AJ6" s="79" t="s">
        <v>98</v>
      </c>
      <c r="AK6" s="79">
        <v>16</v>
      </c>
      <c r="AL6" s="79" t="s">
        <v>99</v>
      </c>
      <c r="AM6" s="79"/>
      <c r="AN6" s="79"/>
      <c r="AO6" s="79"/>
      <c r="AP6" s="81"/>
      <c r="AQ6" s="81"/>
      <c r="AR6" s="123"/>
      <c r="AS6" s="107"/>
      <c r="AT6" s="107"/>
      <c r="AU6" s="107"/>
      <c r="AV6" s="123"/>
      <c r="AW6" s="123"/>
      <c r="AX6" s="110"/>
      <c r="AY6" s="154"/>
      <c r="AZ6" s="79"/>
      <c r="BA6" s="79"/>
      <c r="BB6" s="79"/>
      <c r="BC6" s="79"/>
      <c r="BD6" s="79"/>
      <c r="BE6" s="79"/>
      <c r="BF6" s="79"/>
      <c r="BG6" s="79"/>
      <c r="BH6" s="123">
        <v>5</v>
      </c>
      <c r="BI6" s="123">
        <v>1</v>
      </c>
      <c r="BJ6" s="79"/>
      <c r="BK6" s="123" t="s">
        <v>91</v>
      </c>
      <c r="BL6" s="79"/>
      <c r="BM6" s="79"/>
      <c r="BN6" s="79"/>
      <c r="BO6" s="123">
        <v>50</v>
      </c>
      <c r="BP6" s="81"/>
      <c r="BQ6" s="81"/>
      <c r="BR6" s="82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</row>
    <row r="7" spans="1:98" ht="11.25" customHeight="1">
      <c r="A7" s="145"/>
      <c r="B7" s="145"/>
      <c r="C7" s="150"/>
      <c r="D7" s="79"/>
      <c r="E7" s="79"/>
      <c r="F7" s="79"/>
      <c r="G7" s="79"/>
      <c r="H7" s="79"/>
      <c r="I7" s="79"/>
      <c r="J7" s="79"/>
      <c r="K7" s="79"/>
      <c r="L7" s="80"/>
      <c r="M7" s="79"/>
      <c r="N7" s="124"/>
      <c r="O7" s="124"/>
      <c r="P7" s="79"/>
      <c r="Q7" s="79"/>
      <c r="R7" s="79"/>
      <c r="S7" s="79"/>
      <c r="T7" s="124"/>
      <c r="U7" s="79"/>
      <c r="V7" s="79"/>
      <c r="W7" s="79"/>
      <c r="X7" s="79"/>
      <c r="Y7" s="79"/>
      <c r="Z7" s="79"/>
      <c r="AA7" s="79"/>
      <c r="AB7" s="79"/>
      <c r="AC7" s="79"/>
      <c r="AD7" s="79"/>
      <c r="AE7" s="81"/>
      <c r="AF7" s="81"/>
      <c r="AG7" s="79"/>
      <c r="AH7" s="79"/>
      <c r="AI7" s="79"/>
      <c r="AJ7" s="79" t="s">
        <v>92</v>
      </c>
      <c r="AK7" s="79">
        <v>3</v>
      </c>
      <c r="AL7" s="79" t="s">
        <v>116</v>
      </c>
      <c r="AM7" s="79"/>
      <c r="AN7" s="79"/>
      <c r="AO7" s="79"/>
      <c r="AP7" s="81"/>
      <c r="AQ7" s="81"/>
      <c r="AR7" s="124"/>
      <c r="AS7" s="108"/>
      <c r="AT7" s="108"/>
      <c r="AU7" s="108"/>
      <c r="AV7" s="124"/>
      <c r="AW7" s="124"/>
      <c r="AX7" s="111"/>
      <c r="AY7" s="155"/>
      <c r="AZ7" s="79"/>
      <c r="BA7" s="79"/>
      <c r="BB7" s="79"/>
      <c r="BC7" s="79"/>
      <c r="BD7" s="79"/>
      <c r="BE7" s="79"/>
      <c r="BF7" s="79"/>
      <c r="BG7" s="79"/>
      <c r="BH7" s="124"/>
      <c r="BI7" s="124"/>
      <c r="BJ7" s="79"/>
      <c r="BK7" s="124"/>
      <c r="BL7" s="79"/>
      <c r="BM7" s="79"/>
      <c r="BN7" s="79"/>
      <c r="BO7" s="124"/>
      <c r="BP7" s="81"/>
      <c r="BQ7" s="81"/>
      <c r="BR7" s="82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</row>
    <row r="8" spans="1:98" ht="40.5" customHeight="1">
      <c r="A8" s="145"/>
      <c r="B8" s="145"/>
      <c r="C8" s="150"/>
      <c r="D8" s="79"/>
      <c r="E8" s="79"/>
      <c r="F8" s="79"/>
      <c r="G8" s="79"/>
      <c r="H8" s="79"/>
      <c r="I8" s="79"/>
      <c r="J8" s="79"/>
      <c r="K8" s="79"/>
      <c r="L8" s="80"/>
      <c r="M8" s="79"/>
      <c r="N8" s="124"/>
      <c r="O8" s="124"/>
      <c r="P8" s="79"/>
      <c r="Q8" s="79"/>
      <c r="R8" s="79"/>
      <c r="S8" s="79"/>
      <c r="T8" s="124"/>
      <c r="U8" s="79"/>
      <c r="V8" s="79"/>
      <c r="W8" s="79"/>
      <c r="X8" s="79"/>
      <c r="Y8" s="79"/>
      <c r="Z8" s="79"/>
      <c r="AA8" s="79"/>
      <c r="AB8" s="79"/>
      <c r="AC8" s="79"/>
      <c r="AD8" s="79"/>
      <c r="AE8" s="81"/>
      <c r="AF8" s="81"/>
      <c r="AG8" s="79"/>
      <c r="AH8" s="79"/>
      <c r="AI8" s="79"/>
      <c r="AJ8" s="79"/>
      <c r="AK8" s="79"/>
      <c r="AL8" s="79"/>
      <c r="AM8" s="79"/>
      <c r="AN8" s="79"/>
      <c r="AO8" s="79"/>
      <c r="AP8" s="81"/>
      <c r="AQ8" s="81"/>
      <c r="AR8" s="124"/>
      <c r="AS8" s="108"/>
      <c r="AT8" s="108"/>
      <c r="AU8" s="108"/>
      <c r="AV8" s="124"/>
      <c r="AW8" s="124"/>
      <c r="AX8" s="111"/>
      <c r="AY8" s="155"/>
      <c r="AZ8" s="79"/>
      <c r="BA8" s="79"/>
      <c r="BB8" s="79"/>
      <c r="BC8" s="79"/>
      <c r="BD8" s="79"/>
      <c r="BE8" s="79"/>
      <c r="BF8" s="79"/>
      <c r="BG8" s="79"/>
      <c r="BH8" s="124"/>
      <c r="BI8" s="124"/>
      <c r="BJ8" s="79"/>
      <c r="BK8" s="124"/>
      <c r="BL8" s="79"/>
      <c r="BM8" s="79"/>
      <c r="BN8" s="79"/>
      <c r="BO8" s="124"/>
      <c r="BP8" s="81"/>
      <c r="BQ8" s="81"/>
      <c r="BR8" s="82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</row>
    <row r="9" spans="1:98" ht="34.5" customHeight="1">
      <c r="A9" s="145"/>
      <c r="B9" s="145"/>
      <c r="C9" s="150"/>
      <c r="D9" s="79"/>
      <c r="E9" s="79"/>
      <c r="F9" s="79"/>
      <c r="G9" s="79"/>
      <c r="H9" s="79"/>
      <c r="I9" s="79"/>
      <c r="J9" s="79"/>
      <c r="K9" s="79"/>
      <c r="L9" s="80"/>
      <c r="M9" s="79"/>
      <c r="N9" s="125"/>
      <c r="O9" s="125"/>
      <c r="P9" s="79"/>
      <c r="Q9" s="79"/>
      <c r="R9" s="79"/>
      <c r="S9" s="79"/>
      <c r="T9" s="125"/>
      <c r="U9" s="79"/>
      <c r="V9" s="79"/>
      <c r="W9" s="79"/>
      <c r="X9" s="79"/>
      <c r="Y9" s="79"/>
      <c r="Z9" s="79"/>
      <c r="AA9" s="79"/>
      <c r="AB9" s="79"/>
      <c r="AC9" s="79"/>
      <c r="AD9" s="79"/>
      <c r="AE9" s="81"/>
      <c r="AF9" s="81"/>
      <c r="AG9" s="79"/>
      <c r="AH9" s="79"/>
      <c r="AI9" s="79"/>
      <c r="AJ9" s="79"/>
      <c r="AK9" s="79"/>
      <c r="AL9" s="79"/>
      <c r="AM9" s="79"/>
      <c r="AN9" s="79"/>
      <c r="AO9" s="79"/>
      <c r="AP9" s="81"/>
      <c r="AQ9" s="81"/>
      <c r="AR9" s="125"/>
      <c r="AS9" s="109"/>
      <c r="AT9" s="109"/>
      <c r="AU9" s="109"/>
      <c r="AV9" s="125"/>
      <c r="AW9" s="125"/>
      <c r="AX9" s="112"/>
      <c r="AY9" s="156"/>
      <c r="AZ9" s="79"/>
      <c r="BA9" s="79"/>
      <c r="BB9" s="79"/>
      <c r="BC9" s="79"/>
      <c r="BD9" s="79"/>
      <c r="BE9" s="79"/>
      <c r="BF9" s="79"/>
      <c r="BG9" s="79"/>
      <c r="BH9" s="125"/>
      <c r="BI9" s="125"/>
      <c r="BJ9" s="79"/>
      <c r="BK9" s="125"/>
      <c r="BL9" s="79"/>
      <c r="BM9" s="79"/>
      <c r="BN9" s="79"/>
      <c r="BO9" s="125"/>
      <c r="BP9" s="81"/>
      <c r="BQ9" s="81"/>
      <c r="BR9" s="82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</row>
    <row r="10" spans="1:98" s="12" customFormat="1" ht="24.75" customHeight="1">
      <c r="A10" s="146">
        <v>2</v>
      </c>
      <c r="B10" s="146" t="s">
        <v>16</v>
      </c>
      <c r="C10" s="147">
        <v>4451.6</v>
      </c>
      <c r="D10" s="84"/>
      <c r="E10" s="84"/>
      <c r="F10" s="84"/>
      <c r="G10" s="84"/>
      <c r="H10" s="84"/>
      <c r="I10" s="84"/>
      <c r="J10" s="84"/>
      <c r="K10" s="84"/>
      <c r="L10" s="85"/>
      <c r="M10" s="86"/>
      <c r="N10" s="128" t="s">
        <v>91</v>
      </c>
      <c r="O10" s="128"/>
      <c r="P10" s="84"/>
      <c r="Q10" s="84"/>
      <c r="R10" s="84"/>
      <c r="S10" s="84"/>
      <c r="T10" s="128" t="s">
        <v>91</v>
      </c>
      <c r="U10" s="84"/>
      <c r="V10" s="84"/>
      <c r="W10" s="87"/>
      <c r="X10" s="84">
        <v>64</v>
      </c>
      <c r="Y10" s="84" t="s">
        <v>118</v>
      </c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 t="s">
        <v>104</v>
      </c>
      <c r="AK10" s="84">
        <v>4</v>
      </c>
      <c r="AL10" s="84" t="s">
        <v>107</v>
      </c>
      <c r="AM10" s="84"/>
      <c r="AN10" s="84"/>
      <c r="AO10" s="84"/>
      <c r="AP10" s="87"/>
      <c r="AQ10" s="87"/>
      <c r="AR10" s="128"/>
      <c r="AS10" s="103"/>
      <c r="AT10" s="103"/>
      <c r="AU10" s="103"/>
      <c r="AV10" s="128"/>
      <c r="AW10" s="128"/>
      <c r="AX10" s="128">
        <v>14</v>
      </c>
      <c r="AY10" s="121" t="s">
        <v>91</v>
      </c>
      <c r="AZ10" s="84"/>
      <c r="BA10" s="84"/>
      <c r="BB10" s="84"/>
      <c r="BC10" s="84"/>
      <c r="BD10" s="84"/>
      <c r="BE10" s="84"/>
      <c r="BF10" s="84"/>
      <c r="BG10" s="84"/>
      <c r="BH10" s="128">
        <v>4</v>
      </c>
      <c r="BI10" s="128">
        <v>2</v>
      </c>
      <c r="BJ10" s="84"/>
      <c r="BK10" s="128" t="s">
        <v>91</v>
      </c>
      <c r="BL10" s="84"/>
      <c r="BM10" s="84"/>
      <c r="BN10" s="84"/>
      <c r="BO10" s="84"/>
      <c r="BP10" s="87"/>
      <c r="BQ10" s="87"/>
      <c r="BR10" s="89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</row>
    <row r="11" spans="1:98" s="12" customFormat="1" ht="24.75" customHeight="1">
      <c r="A11" s="146"/>
      <c r="B11" s="146"/>
      <c r="C11" s="148"/>
      <c r="D11" s="84"/>
      <c r="E11" s="84"/>
      <c r="F11" s="84"/>
      <c r="G11" s="84"/>
      <c r="H11" s="84"/>
      <c r="I11" s="84"/>
      <c r="J11" s="84"/>
      <c r="K11" s="84"/>
      <c r="L11" s="85"/>
      <c r="M11" s="86"/>
      <c r="N11" s="129"/>
      <c r="O11" s="129"/>
      <c r="P11" s="84"/>
      <c r="Q11" s="84"/>
      <c r="R11" s="84"/>
      <c r="S11" s="84"/>
      <c r="T11" s="129"/>
      <c r="U11" s="84"/>
      <c r="V11" s="84"/>
      <c r="W11" s="87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 t="s">
        <v>106</v>
      </c>
      <c r="AK11" s="84">
        <v>30</v>
      </c>
      <c r="AL11" s="84" t="s">
        <v>107</v>
      </c>
      <c r="AM11" s="84"/>
      <c r="AN11" s="84"/>
      <c r="AO11" s="84"/>
      <c r="AP11" s="87"/>
      <c r="AQ11" s="87"/>
      <c r="AR11" s="129"/>
      <c r="AS11" s="104"/>
      <c r="AT11" s="104"/>
      <c r="AU11" s="104"/>
      <c r="AV11" s="129"/>
      <c r="AW11" s="129"/>
      <c r="AX11" s="129"/>
      <c r="AY11" s="159"/>
      <c r="AZ11" s="84"/>
      <c r="BA11" s="84"/>
      <c r="BB11" s="84"/>
      <c r="BC11" s="84"/>
      <c r="BD11" s="84"/>
      <c r="BE11" s="84"/>
      <c r="BF11" s="84"/>
      <c r="BG11" s="84"/>
      <c r="BH11" s="129"/>
      <c r="BI11" s="129"/>
      <c r="BJ11" s="84"/>
      <c r="BK11" s="129"/>
      <c r="BL11" s="84"/>
      <c r="BM11" s="84"/>
      <c r="BN11" s="84"/>
      <c r="BO11" s="84"/>
      <c r="BP11" s="87"/>
      <c r="BQ11" s="87"/>
      <c r="BR11" s="89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</row>
    <row r="12" spans="1:98" s="12" customFormat="1" ht="12" customHeight="1">
      <c r="A12" s="146"/>
      <c r="B12" s="146"/>
      <c r="C12" s="148"/>
      <c r="D12" s="84"/>
      <c r="E12" s="84"/>
      <c r="F12" s="84"/>
      <c r="G12" s="84"/>
      <c r="H12" s="84"/>
      <c r="I12" s="84"/>
      <c r="J12" s="84"/>
      <c r="K12" s="84"/>
      <c r="L12" s="85"/>
      <c r="M12" s="86"/>
      <c r="N12" s="129"/>
      <c r="O12" s="129"/>
      <c r="P12" s="84"/>
      <c r="Q12" s="84"/>
      <c r="R12" s="84"/>
      <c r="S12" s="84"/>
      <c r="T12" s="130"/>
      <c r="U12" s="84"/>
      <c r="V12" s="84"/>
      <c r="W12" s="87"/>
      <c r="X12" s="84"/>
      <c r="Y12" s="84"/>
      <c r="Z12" s="84"/>
      <c r="AA12" s="84"/>
      <c r="AB12" s="84"/>
      <c r="AC12" s="84"/>
      <c r="AD12" s="84"/>
      <c r="AE12" s="88"/>
      <c r="AF12" s="88"/>
      <c r="AG12" s="84"/>
      <c r="AH12" s="84"/>
      <c r="AI12" s="84"/>
      <c r="AJ12" s="84"/>
      <c r="AK12" s="84"/>
      <c r="AL12" s="84"/>
      <c r="AM12" s="84"/>
      <c r="AN12" s="84"/>
      <c r="AO12" s="84"/>
      <c r="AP12" s="87"/>
      <c r="AQ12" s="87"/>
      <c r="AR12" s="129"/>
      <c r="AS12" s="104"/>
      <c r="AT12" s="104"/>
      <c r="AU12" s="104"/>
      <c r="AV12" s="129"/>
      <c r="AW12" s="129"/>
      <c r="AX12" s="130"/>
      <c r="AY12" s="159"/>
      <c r="AZ12" s="84"/>
      <c r="BA12" s="84"/>
      <c r="BB12" s="84"/>
      <c r="BC12" s="84"/>
      <c r="BD12" s="84"/>
      <c r="BE12" s="84"/>
      <c r="BF12" s="84"/>
      <c r="BG12" s="84"/>
      <c r="BH12" s="130"/>
      <c r="BI12" s="130"/>
      <c r="BJ12" s="84"/>
      <c r="BK12" s="130"/>
      <c r="BL12" s="84"/>
      <c r="BM12" s="84"/>
      <c r="BN12" s="84"/>
      <c r="BO12" s="84"/>
      <c r="BP12" s="87"/>
      <c r="BQ12" s="87"/>
      <c r="BR12" s="89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</row>
    <row r="13" spans="1:98" s="12" customFormat="1" ht="27" customHeight="1">
      <c r="A13" s="142">
        <v>3</v>
      </c>
      <c r="B13" s="142" t="s">
        <v>18</v>
      </c>
      <c r="C13" s="151">
        <v>4132.36</v>
      </c>
      <c r="D13" s="90"/>
      <c r="E13" s="90"/>
      <c r="F13" s="90"/>
      <c r="G13" s="90" t="s">
        <v>98</v>
      </c>
      <c r="H13" s="90">
        <v>2</v>
      </c>
      <c r="I13" s="90"/>
      <c r="J13" s="90"/>
      <c r="K13" s="90"/>
      <c r="L13" s="91"/>
      <c r="M13" s="92"/>
      <c r="N13" s="131" t="s">
        <v>91</v>
      </c>
      <c r="O13" s="131"/>
      <c r="P13" s="90"/>
      <c r="Q13" s="90"/>
      <c r="R13" s="90"/>
      <c r="S13" s="90"/>
      <c r="T13" s="131" t="s">
        <v>91</v>
      </c>
      <c r="U13" s="90"/>
      <c r="V13" s="90"/>
      <c r="W13" s="93"/>
      <c r="X13" s="90"/>
      <c r="Y13" s="90"/>
      <c r="Z13" s="90">
        <v>40</v>
      </c>
      <c r="AA13" s="90" t="s">
        <v>96</v>
      </c>
      <c r="AB13" s="90" t="s">
        <v>113</v>
      </c>
      <c r="AC13" s="90">
        <v>3</v>
      </c>
      <c r="AD13" s="90" t="s">
        <v>115</v>
      </c>
      <c r="AE13" s="94"/>
      <c r="AF13" s="94"/>
      <c r="AG13" s="90" t="s">
        <v>104</v>
      </c>
      <c r="AH13" s="90">
        <v>6</v>
      </c>
      <c r="AI13" s="90" t="s">
        <v>105</v>
      </c>
      <c r="AJ13" s="90" t="s">
        <v>92</v>
      </c>
      <c r="AK13" s="90">
        <v>10</v>
      </c>
      <c r="AL13" s="90" t="s">
        <v>93</v>
      </c>
      <c r="AM13" s="90" t="s">
        <v>94</v>
      </c>
      <c r="AN13" s="90">
        <v>3.5</v>
      </c>
      <c r="AO13" s="90" t="s">
        <v>95</v>
      </c>
      <c r="AP13" s="91" t="s">
        <v>110</v>
      </c>
      <c r="AQ13" s="91">
        <v>8</v>
      </c>
      <c r="AR13" s="131"/>
      <c r="AS13" s="90" t="s">
        <v>94</v>
      </c>
      <c r="AT13" s="90">
        <v>3.5</v>
      </c>
      <c r="AU13" s="90" t="s">
        <v>97</v>
      </c>
      <c r="AV13" s="131"/>
      <c r="AW13" s="131"/>
      <c r="AX13" s="115"/>
      <c r="AY13" s="162"/>
      <c r="AZ13" s="90"/>
      <c r="BA13" s="90"/>
      <c r="BB13" s="90"/>
      <c r="BC13" s="90"/>
      <c r="BD13" s="90"/>
      <c r="BE13" s="90"/>
      <c r="BF13" s="90"/>
      <c r="BG13" s="90"/>
      <c r="BH13" s="131">
        <v>5</v>
      </c>
      <c r="BI13" s="131">
        <v>2</v>
      </c>
      <c r="BJ13" s="90"/>
      <c r="BK13" s="131" t="s">
        <v>91</v>
      </c>
      <c r="BL13" s="90"/>
      <c r="BM13" s="90"/>
      <c r="BN13" s="90"/>
      <c r="BO13" s="90"/>
      <c r="BP13" s="93"/>
      <c r="BQ13" s="93"/>
      <c r="BR13" s="90" t="s">
        <v>97</v>
      </c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</row>
    <row r="14" spans="1:98" s="12" customFormat="1" ht="27" customHeight="1">
      <c r="A14" s="142"/>
      <c r="B14" s="142"/>
      <c r="C14" s="151"/>
      <c r="D14" s="90"/>
      <c r="E14" s="90"/>
      <c r="F14" s="90"/>
      <c r="G14" s="90"/>
      <c r="H14" s="90"/>
      <c r="I14" s="90"/>
      <c r="J14" s="90"/>
      <c r="K14" s="90"/>
      <c r="L14" s="91"/>
      <c r="M14" s="92"/>
      <c r="N14" s="132"/>
      <c r="O14" s="132"/>
      <c r="P14" s="90"/>
      <c r="Q14" s="90"/>
      <c r="R14" s="90"/>
      <c r="S14" s="90"/>
      <c r="T14" s="132"/>
      <c r="U14" s="90"/>
      <c r="V14" s="90"/>
      <c r="W14" s="93"/>
      <c r="X14" s="90"/>
      <c r="Y14" s="90"/>
      <c r="Z14" s="90"/>
      <c r="AA14" s="90"/>
      <c r="AB14" s="90"/>
      <c r="AC14" s="90"/>
      <c r="AD14" s="90"/>
      <c r="AE14" s="94"/>
      <c r="AF14" s="94"/>
      <c r="AG14" s="90" t="s">
        <v>92</v>
      </c>
      <c r="AH14" s="90">
        <v>2</v>
      </c>
      <c r="AI14" s="90" t="s">
        <v>105</v>
      </c>
      <c r="AJ14" s="90"/>
      <c r="AK14" s="90"/>
      <c r="AL14" s="90"/>
      <c r="AM14" s="90"/>
      <c r="AN14" s="90"/>
      <c r="AO14" s="90"/>
      <c r="AP14" s="91"/>
      <c r="AQ14" s="91"/>
      <c r="AR14" s="132"/>
      <c r="AS14" s="90"/>
      <c r="AT14" s="90"/>
      <c r="AU14" s="90"/>
      <c r="AV14" s="132"/>
      <c r="AW14" s="132"/>
      <c r="AX14" s="116"/>
      <c r="AY14" s="163"/>
      <c r="AZ14" s="90"/>
      <c r="BA14" s="90"/>
      <c r="BB14" s="90"/>
      <c r="BC14" s="90"/>
      <c r="BD14" s="90"/>
      <c r="BE14" s="90"/>
      <c r="BF14" s="90"/>
      <c r="BG14" s="90"/>
      <c r="BH14" s="132"/>
      <c r="BI14" s="132"/>
      <c r="BJ14" s="90"/>
      <c r="BK14" s="132"/>
      <c r="BL14" s="90"/>
      <c r="BM14" s="90"/>
      <c r="BN14" s="90"/>
      <c r="BO14" s="90"/>
      <c r="BP14" s="93"/>
      <c r="BQ14" s="93"/>
      <c r="BR14" s="9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</row>
    <row r="15" spans="1:98" s="12" customFormat="1" ht="45.75" customHeight="1">
      <c r="A15" s="142"/>
      <c r="B15" s="142"/>
      <c r="C15" s="151"/>
      <c r="D15" s="79"/>
      <c r="E15" s="79"/>
      <c r="F15" s="79"/>
      <c r="G15" s="79"/>
      <c r="H15" s="79"/>
      <c r="I15" s="79"/>
      <c r="J15" s="79"/>
      <c r="K15" s="79"/>
      <c r="L15" s="80"/>
      <c r="M15" s="79"/>
      <c r="N15" s="132"/>
      <c r="O15" s="132"/>
      <c r="P15" s="79"/>
      <c r="Q15" s="79"/>
      <c r="R15" s="79"/>
      <c r="S15" s="79"/>
      <c r="T15" s="133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3"/>
      <c r="AF15" s="83"/>
      <c r="AG15" s="79"/>
      <c r="AH15" s="79"/>
      <c r="AI15" s="79"/>
      <c r="AJ15" s="79"/>
      <c r="AK15" s="79"/>
      <c r="AL15" s="79"/>
      <c r="AM15" s="79"/>
      <c r="AN15" s="79"/>
      <c r="AO15" s="79"/>
      <c r="AP15" s="80"/>
      <c r="AQ15" s="80"/>
      <c r="AR15" s="132"/>
      <c r="AS15" s="90"/>
      <c r="AT15" s="90"/>
      <c r="AU15" s="90"/>
      <c r="AV15" s="132"/>
      <c r="AW15" s="132"/>
      <c r="AX15" s="116"/>
      <c r="AY15" s="163"/>
      <c r="AZ15" s="79"/>
      <c r="BA15" s="79"/>
      <c r="BB15" s="79"/>
      <c r="BC15" s="79"/>
      <c r="BD15" s="79"/>
      <c r="BE15" s="79"/>
      <c r="BF15" s="79"/>
      <c r="BG15" s="79"/>
      <c r="BH15" s="133"/>
      <c r="BI15" s="133"/>
      <c r="BJ15" s="79"/>
      <c r="BK15" s="133"/>
      <c r="BL15" s="79"/>
      <c r="BM15" s="79"/>
      <c r="BN15" s="79"/>
      <c r="BO15" s="79"/>
      <c r="BP15" s="79"/>
      <c r="BQ15" s="79"/>
      <c r="BR15" s="82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</row>
    <row r="16" spans="1:98" ht="25.5" customHeight="1">
      <c r="A16" s="139">
        <v>4</v>
      </c>
      <c r="B16" s="139" t="s">
        <v>19</v>
      </c>
      <c r="C16" s="140">
        <v>1759.4</v>
      </c>
      <c r="D16" s="71"/>
      <c r="E16" s="71"/>
      <c r="F16" s="71"/>
      <c r="G16" s="71"/>
      <c r="H16" s="71"/>
      <c r="I16" s="71"/>
      <c r="J16" s="71"/>
      <c r="K16" s="71"/>
      <c r="L16" s="96"/>
      <c r="M16" s="71"/>
      <c r="N16" s="134" t="s">
        <v>91</v>
      </c>
      <c r="O16" s="134"/>
      <c r="P16" s="71">
        <v>2</v>
      </c>
      <c r="Q16" s="71" t="s">
        <v>101</v>
      </c>
      <c r="R16" s="71"/>
      <c r="S16" s="71"/>
      <c r="T16" s="134" t="s">
        <v>91</v>
      </c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2"/>
      <c r="AF16" s="72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72"/>
      <c r="AR16" s="134"/>
      <c r="AS16" s="105"/>
      <c r="AT16" s="105"/>
      <c r="AU16" s="105"/>
      <c r="AV16" s="134"/>
      <c r="AW16" s="134"/>
      <c r="AX16" s="117"/>
      <c r="AY16" s="164"/>
      <c r="AZ16" s="71"/>
      <c r="BA16" s="71"/>
      <c r="BB16" s="71"/>
      <c r="BC16" s="71"/>
      <c r="BD16" s="71"/>
      <c r="BE16" s="71"/>
      <c r="BF16" s="71"/>
      <c r="BG16" s="71"/>
      <c r="BH16" s="134">
        <v>3</v>
      </c>
      <c r="BI16" s="134">
        <v>3</v>
      </c>
      <c r="BJ16" s="71"/>
      <c r="BK16" s="134" t="s">
        <v>91</v>
      </c>
      <c r="BL16" s="71"/>
      <c r="BM16" s="71"/>
      <c r="BN16" s="71"/>
      <c r="BO16" s="71"/>
      <c r="BP16" s="71"/>
      <c r="BQ16" s="71"/>
      <c r="BR16" s="73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</row>
    <row r="17" spans="1:98" ht="27" customHeight="1">
      <c r="A17" s="139"/>
      <c r="B17" s="139"/>
      <c r="C17" s="140"/>
      <c r="D17" s="71"/>
      <c r="E17" s="71"/>
      <c r="F17" s="71"/>
      <c r="G17" s="71"/>
      <c r="H17" s="71"/>
      <c r="I17" s="71"/>
      <c r="J17" s="71"/>
      <c r="K17" s="71"/>
      <c r="L17" s="96"/>
      <c r="M17" s="71"/>
      <c r="N17" s="158"/>
      <c r="O17" s="158"/>
      <c r="P17" s="71"/>
      <c r="Q17" s="71"/>
      <c r="R17" s="71"/>
      <c r="S17" s="71"/>
      <c r="T17" s="135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2"/>
      <c r="AF17" s="72"/>
      <c r="AG17" s="71"/>
      <c r="AH17" s="71"/>
      <c r="AI17" s="71"/>
      <c r="AJ17" s="71"/>
      <c r="AK17" s="71"/>
      <c r="AL17" s="71"/>
      <c r="AM17" s="72"/>
      <c r="AN17" s="97"/>
      <c r="AO17" s="71"/>
      <c r="AP17" s="97"/>
      <c r="AQ17" s="97"/>
      <c r="AR17" s="158"/>
      <c r="AS17" s="106"/>
      <c r="AT17" s="106"/>
      <c r="AU17" s="106"/>
      <c r="AV17" s="158"/>
      <c r="AW17" s="158"/>
      <c r="AX17" s="118"/>
      <c r="AY17" s="165"/>
      <c r="AZ17" s="71"/>
      <c r="BA17" s="71"/>
      <c r="BB17" s="71"/>
      <c r="BC17" s="71"/>
      <c r="BD17" s="71"/>
      <c r="BE17" s="71"/>
      <c r="BF17" s="71"/>
      <c r="BG17" s="71"/>
      <c r="BH17" s="135"/>
      <c r="BI17" s="135"/>
      <c r="BJ17" s="71"/>
      <c r="BK17" s="135"/>
      <c r="BL17" s="71"/>
      <c r="BM17" s="71"/>
      <c r="BN17" s="71"/>
      <c r="BO17" s="71"/>
      <c r="BP17" s="97"/>
      <c r="BQ17" s="97"/>
      <c r="BR17" s="73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</row>
    <row r="18" spans="1:98" s="13" customFormat="1" ht="12" customHeight="1">
      <c r="A18" s="138">
        <v>5</v>
      </c>
      <c r="B18" s="138" t="s">
        <v>20</v>
      </c>
      <c r="C18" s="141">
        <v>2396.9</v>
      </c>
      <c r="D18" s="79"/>
      <c r="E18" s="79"/>
      <c r="F18" s="79"/>
      <c r="G18" s="79"/>
      <c r="H18" s="79"/>
      <c r="I18" s="79"/>
      <c r="J18" s="79"/>
      <c r="K18" s="79"/>
      <c r="L18" s="80"/>
      <c r="M18" s="79"/>
      <c r="N18" s="123" t="s">
        <v>91</v>
      </c>
      <c r="O18" s="123"/>
      <c r="P18" s="79"/>
      <c r="Q18" s="79"/>
      <c r="R18" s="79"/>
      <c r="S18" s="79"/>
      <c r="T18" s="123" t="s">
        <v>91</v>
      </c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3"/>
      <c r="AF18" s="83"/>
      <c r="AG18" s="79" t="s">
        <v>106</v>
      </c>
      <c r="AH18" s="79">
        <v>16</v>
      </c>
      <c r="AI18" s="79" t="s">
        <v>114</v>
      </c>
      <c r="AJ18" s="79"/>
      <c r="AK18" s="79"/>
      <c r="AL18" s="79"/>
      <c r="AM18" s="83"/>
      <c r="AN18" s="81"/>
      <c r="AO18" s="79"/>
      <c r="AP18" s="80" t="s">
        <v>109</v>
      </c>
      <c r="AQ18" s="80">
        <v>8</v>
      </c>
      <c r="AR18" s="123"/>
      <c r="AS18" s="107"/>
      <c r="AT18" s="107"/>
      <c r="AU18" s="107"/>
      <c r="AV18" s="123"/>
      <c r="AW18" s="123"/>
      <c r="AX18" s="110"/>
      <c r="AY18" s="154"/>
      <c r="AZ18" s="79"/>
      <c r="BA18" s="79"/>
      <c r="BB18" s="79"/>
      <c r="BC18" s="79"/>
      <c r="BD18" s="79"/>
      <c r="BE18" s="79"/>
      <c r="BF18" s="79"/>
      <c r="BG18" s="79"/>
      <c r="BH18" s="123">
        <v>5</v>
      </c>
      <c r="BI18" s="123">
        <v>2</v>
      </c>
      <c r="BJ18" s="79"/>
      <c r="BK18" s="123" t="s">
        <v>91</v>
      </c>
      <c r="BL18" s="79"/>
      <c r="BM18" s="79"/>
      <c r="BN18" s="79"/>
      <c r="BO18" s="79"/>
      <c r="BP18" s="81"/>
      <c r="BQ18" s="81"/>
      <c r="BR18" s="82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</row>
    <row r="19" spans="1:98" s="13" customFormat="1" ht="12" customHeight="1">
      <c r="A19" s="138"/>
      <c r="B19" s="138"/>
      <c r="C19" s="141"/>
      <c r="D19" s="79"/>
      <c r="E19" s="79"/>
      <c r="F19" s="79"/>
      <c r="G19" s="79"/>
      <c r="H19" s="79"/>
      <c r="I19" s="79"/>
      <c r="J19" s="79"/>
      <c r="K19" s="79"/>
      <c r="L19" s="80"/>
      <c r="M19" s="79"/>
      <c r="N19" s="124"/>
      <c r="O19" s="124"/>
      <c r="P19" s="79"/>
      <c r="Q19" s="79"/>
      <c r="R19" s="79"/>
      <c r="S19" s="79"/>
      <c r="T19" s="124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3"/>
      <c r="AF19" s="83"/>
      <c r="AG19" s="79"/>
      <c r="AH19" s="79"/>
      <c r="AI19" s="79"/>
      <c r="AJ19" s="79"/>
      <c r="AK19" s="79"/>
      <c r="AL19" s="79"/>
      <c r="AM19" s="79"/>
      <c r="AN19" s="79"/>
      <c r="AO19" s="79"/>
      <c r="AP19" s="80"/>
      <c r="AQ19" s="80"/>
      <c r="AR19" s="124"/>
      <c r="AS19" s="108"/>
      <c r="AT19" s="108"/>
      <c r="AU19" s="108"/>
      <c r="AV19" s="124"/>
      <c r="AW19" s="124"/>
      <c r="AX19" s="111"/>
      <c r="AY19" s="155"/>
      <c r="AZ19" s="79"/>
      <c r="BA19" s="79"/>
      <c r="BB19" s="79"/>
      <c r="BC19" s="79"/>
      <c r="BD19" s="79"/>
      <c r="BE19" s="79"/>
      <c r="BF19" s="79"/>
      <c r="BG19" s="79"/>
      <c r="BH19" s="124"/>
      <c r="BI19" s="124"/>
      <c r="BJ19" s="79"/>
      <c r="BK19" s="124"/>
      <c r="BL19" s="79"/>
      <c r="BM19" s="79"/>
      <c r="BN19" s="79"/>
      <c r="BO19" s="79"/>
      <c r="BP19" s="81"/>
      <c r="BQ19" s="81"/>
      <c r="BR19" s="82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</row>
    <row r="20" spans="1:98" s="13" customFormat="1" ht="25.5" customHeight="1">
      <c r="A20" s="138"/>
      <c r="B20" s="138"/>
      <c r="C20" s="141"/>
      <c r="D20" s="90"/>
      <c r="E20" s="90"/>
      <c r="F20" s="90"/>
      <c r="G20" s="90"/>
      <c r="H20" s="90"/>
      <c r="I20" s="90"/>
      <c r="J20" s="90"/>
      <c r="K20" s="90"/>
      <c r="L20" s="91"/>
      <c r="M20" s="90"/>
      <c r="N20" s="124"/>
      <c r="O20" s="124"/>
      <c r="P20" s="90"/>
      <c r="Q20" s="90"/>
      <c r="R20" s="90"/>
      <c r="S20" s="90"/>
      <c r="T20" s="124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4"/>
      <c r="AF20" s="94"/>
      <c r="AG20" s="90"/>
      <c r="AH20" s="90"/>
      <c r="AI20" s="90"/>
      <c r="AJ20" s="90"/>
      <c r="AK20" s="90"/>
      <c r="AL20" s="90"/>
      <c r="AM20" s="90"/>
      <c r="AN20" s="90"/>
      <c r="AO20" s="90"/>
      <c r="AP20" s="91"/>
      <c r="AQ20" s="91"/>
      <c r="AR20" s="124"/>
      <c r="AS20" s="108"/>
      <c r="AT20" s="108"/>
      <c r="AU20" s="108"/>
      <c r="AV20" s="124"/>
      <c r="AW20" s="124"/>
      <c r="AX20" s="111"/>
      <c r="AY20" s="155"/>
      <c r="AZ20" s="90"/>
      <c r="BA20" s="90"/>
      <c r="BB20" s="90"/>
      <c r="BC20" s="90"/>
      <c r="BD20" s="90"/>
      <c r="BE20" s="90"/>
      <c r="BF20" s="90"/>
      <c r="BG20" s="90"/>
      <c r="BH20" s="124"/>
      <c r="BI20" s="124"/>
      <c r="BJ20" s="90"/>
      <c r="BK20" s="124"/>
      <c r="BL20" s="90"/>
      <c r="BM20" s="90"/>
      <c r="BN20" s="90"/>
      <c r="BO20" s="90"/>
      <c r="BP20" s="90"/>
      <c r="BQ20" s="90"/>
      <c r="BR20" s="95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</row>
    <row r="21" spans="1:98" s="13" customFormat="1" ht="23.25" customHeight="1">
      <c r="A21" s="138"/>
      <c r="B21" s="138"/>
      <c r="C21" s="141"/>
      <c r="D21" s="90"/>
      <c r="E21" s="90"/>
      <c r="F21" s="90"/>
      <c r="G21" s="90"/>
      <c r="H21" s="90"/>
      <c r="I21" s="90"/>
      <c r="J21" s="90"/>
      <c r="K21" s="90"/>
      <c r="L21" s="91"/>
      <c r="M21" s="90"/>
      <c r="N21" s="124"/>
      <c r="O21" s="124"/>
      <c r="P21" s="90"/>
      <c r="Q21" s="90"/>
      <c r="R21" s="90"/>
      <c r="S21" s="90"/>
      <c r="T21" s="125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4"/>
      <c r="AF21" s="94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124"/>
      <c r="AS21" s="108"/>
      <c r="AT21" s="108"/>
      <c r="AU21" s="108"/>
      <c r="AV21" s="124"/>
      <c r="AW21" s="124"/>
      <c r="AX21" s="111"/>
      <c r="AY21" s="155"/>
      <c r="AZ21" s="90"/>
      <c r="BA21" s="90"/>
      <c r="BB21" s="90"/>
      <c r="BC21" s="90"/>
      <c r="BD21" s="90"/>
      <c r="BE21" s="90"/>
      <c r="BF21" s="90"/>
      <c r="BG21" s="90"/>
      <c r="BH21" s="125"/>
      <c r="BI21" s="125"/>
      <c r="BJ21" s="90"/>
      <c r="BK21" s="125"/>
      <c r="BL21" s="90"/>
      <c r="BM21" s="90"/>
      <c r="BN21" s="90"/>
      <c r="BO21" s="90"/>
      <c r="BP21" s="90"/>
      <c r="BQ21" s="90"/>
      <c r="BR21" s="95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</row>
    <row r="22" spans="1:98" ht="12" customHeight="1">
      <c r="A22" s="139">
        <v>6</v>
      </c>
      <c r="B22" s="139" t="s">
        <v>21</v>
      </c>
      <c r="C22" s="140">
        <v>5365.1</v>
      </c>
      <c r="D22" s="87"/>
      <c r="E22" s="87"/>
      <c r="F22" s="87"/>
      <c r="G22" s="87"/>
      <c r="H22" s="87"/>
      <c r="I22" s="87"/>
      <c r="J22" s="87"/>
      <c r="K22" s="84"/>
      <c r="L22" s="85"/>
      <c r="M22" s="87"/>
      <c r="N22" s="121" t="s">
        <v>91</v>
      </c>
      <c r="O22" s="160"/>
      <c r="P22" s="87"/>
      <c r="Q22" s="87"/>
      <c r="R22" s="87"/>
      <c r="S22" s="87"/>
      <c r="T22" s="128" t="s">
        <v>91</v>
      </c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103</v>
      </c>
      <c r="AF22" s="88">
        <v>1</v>
      </c>
      <c r="AG22" s="87"/>
      <c r="AH22" s="87"/>
      <c r="AI22" s="87"/>
      <c r="AJ22" s="87"/>
      <c r="AK22" s="87"/>
      <c r="AL22" s="87"/>
      <c r="AM22" s="88"/>
      <c r="AN22" s="87"/>
      <c r="AO22" s="87"/>
      <c r="AP22" s="87"/>
      <c r="AQ22" s="87"/>
      <c r="AR22" s="160"/>
      <c r="AS22" s="85" t="s">
        <v>94</v>
      </c>
      <c r="AT22" s="85">
        <v>2</v>
      </c>
      <c r="AU22" s="85" t="s">
        <v>101</v>
      </c>
      <c r="AV22" s="121"/>
      <c r="AW22" s="128"/>
      <c r="AX22" s="113"/>
      <c r="AY22" s="121"/>
      <c r="AZ22" s="87"/>
      <c r="BA22" s="87"/>
      <c r="BB22" s="87"/>
      <c r="BC22" s="87"/>
      <c r="BD22" s="87"/>
      <c r="BE22" s="87"/>
      <c r="BF22" s="89"/>
      <c r="BG22" s="88"/>
      <c r="BH22" s="121">
        <v>4</v>
      </c>
      <c r="BI22" s="121">
        <v>1</v>
      </c>
      <c r="BJ22" s="88"/>
      <c r="BK22" s="121" t="s">
        <v>91</v>
      </c>
      <c r="BL22" s="88"/>
      <c r="BM22" s="88"/>
      <c r="BN22" s="88"/>
      <c r="BO22" s="87"/>
      <c r="BP22" s="87"/>
      <c r="BQ22" s="88">
        <v>10</v>
      </c>
      <c r="BR22" s="8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</row>
    <row r="23" spans="1:98" ht="12" customHeight="1">
      <c r="A23" s="139"/>
      <c r="B23" s="139"/>
      <c r="C23" s="140"/>
      <c r="D23" s="87"/>
      <c r="E23" s="87"/>
      <c r="F23" s="87"/>
      <c r="G23" s="87"/>
      <c r="H23" s="87"/>
      <c r="I23" s="87"/>
      <c r="J23" s="87"/>
      <c r="K23" s="84"/>
      <c r="L23" s="85"/>
      <c r="M23" s="87"/>
      <c r="N23" s="159"/>
      <c r="O23" s="161"/>
      <c r="P23" s="84"/>
      <c r="Q23" s="84"/>
      <c r="R23" s="87"/>
      <c r="S23" s="87"/>
      <c r="T23" s="130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8"/>
      <c r="AN23" s="87"/>
      <c r="AO23" s="87"/>
      <c r="AP23" s="87"/>
      <c r="AQ23" s="87"/>
      <c r="AR23" s="161"/>
      <c r="AS23" s="85"/>
      <c r="AT23" s="85"/>
      <c r="AU23" s="85"/>
      <c r="AV23" s="159"/>
      <c r="AW23" s="129"/>
      <c r="AX23" s="114"/>
      <c r="AY23" s="159"/>
      <c r="AZ23" s="87"/>
      <c r="BA23" s="87"/>
      <c r="BB23" s="87"/>
      <c r="BC23" s="87"/>
      <c r="BD23" s="87"/>
      <c r="BE23" s="87"/>
      <c r="BF23" s="87"/>
      <c r="BG23" s="87"/>
      <c r="BH23" s="122"/>
      <c r="BI23" s="122"/>
      <c r="BJ23" s="88"/>
      <c r="BK23" s="122"/>
      <c r="BL23" s="87"/>
      <c r="BM23" s="87"/>
      <c r="BN23" s="87"/>
      <c r="BO23" s="87"/>
      <c r="BP23" s="87"/>
      <c r="BQ23" s="87"/>
      <c r="BR23" s="8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</row>
    <row r="24" spans="1:70" ht="12" customHeight="1">
      <c r="A24" s="14">
        <v>6</v>
      </c>
      <c r="B24" s="14" t="s">
        <v>22</v>
      </c>
      <c r="C24" s="41">
        <f>SUM(C6:C22)</f>
        <v>21431.96</v>
      </c>
      <c r="D24" s="76"/>
      <c r="E24" s="76"/>
      <c r="F24" s="76"/>
      <c r="G24" s="76"/>
      <c r="H24" s="76"/>
      <c r="I24" s="76"/>
      <c r="J24" s="76"/>
      <c r="K24" s="56"/>
      <c r="L24" s="75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7"/>
      <c r="AF24" s="77"/>
      <c r="AG24" s="76"/>
      <c r="AH24" s="76"/>
      <c r="AI24" s="76"/>
      <c r="AJ24" s="76"/>
      <c r="AK24" s="76"/>
      <c r="AL24" s="76"/>
      <c r="AM24" s="78"/>
      <c r="AN24" s="76"/>
      <c r="AO24" s="76"/>
      <c r="AP24" s="77"/>
      <c r="AQ24" s="77"/>
      <c r="AR24" s="76"/>
      <c r="AS24" s="76"/>
      <c r="AT24" s="76"/>
      <c r="AU24" s="76"/>
      <c r="AV24" s="76"/>
      <c r="AW24" s="76"/>
      <c r="AX24" s="76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7"/>
      <c r="BQ24" s="77"/>
      <c r="BR24" s="55"/>
    </row>
  </sheetData>
  <sheetProtection selectLockedCells="1" selectUnlockedCells="1"/>
  <autoFilter ref="A1:C24"/>
  <mergeCells count="103">
    <mergeCell ref="BH22:BH23"/>
    <mergeCell ref="BF4:BG4"/>
    <mergeCell ref="BD4:BE4"/>
    <mergeCell ref="AZ4:BA4"/>
    <mergeCell ref="BI10:BI12"/>
    <mergeCell ref="BI16:BI17"/>
    <mergeCell ref="BI18:BI21"/>
    <mergeCell ref="BH6:BH9"/>
    <mergeCell ref="BH10:BH12"/>
    <mergeCell ref="BH16:BH17"/>
    <mergeCell ref="BH13:BH15"/>
    <mergeCell ref="AY22:AY23"/>
    <mergeCell ref="AV10:AV12"/>
    <mergeCell ref="AV13:AV15"/>
    <mergeCell ref="AV16:AV17"/>
    <mergeCell ref="AV18:AV21"/>
    <mergeCell ref="AV22:AV23"/>
    <mergeCell ref="AW22:AW23"/>
    <mergeCell ref="BH18:BH21"/>
    <mergeCell ref="AY10:AY12"/>
    <mergeCell ref="AY13:AY15"/>
    <mergeCell ref="AY16:AY17"/>
    <mergeCell ref="AY18:AY21"/>
    <mergeCell ref="AW10:AW12"/>
    <mergeCell ref="AW13:AW15"/>
    <mergeCell ref="AW16:AW17"/>
    <mergeCell ref="AW18:AW21"/>
    <mergeCell ref="AX10:AX12"/>
    <mergeCell ref="T10:T12"/>
    <mergeCell ref="AR22:AR23"/>
    <mergeCell ref="T13:T15"/>
    <mergeCell ref="T16:T17"/>
    <mergeCell ref="AR10:AR12"/>
    <mergeCell ref="T18:T21"/>
    <mergeCell ref="T22:T23"/>
    <mergeCell ref="AR13:AR15"/>
    <mergeCell ref="AR16:AR17"/>
    <mergeCell ref="AR18:AR21"/>
    <mergeCell ref="N18:N21"/>
    <mergeCell ref="N22:N23"/>
    <mergeCell ref="O10:O12"/>
    <mergeCell ref="O13:O15"/>
    <mergeCell ref="O16:O17"/>
    <mergeCell ref="O18:O21"/>
    <mergeCell ref="O22:O23"/>
    <mergeCell ref="N10:N12"/>
    <mergeCell ref="AW6:AW9"/>
    <mergeCell ref="AY6:AY9"/>
    <mergeCell ref="AJ4:AL4"/>
    <mergeCell ref="AM4:AO4"/>
    <mergeCell ref="AP4:AQ4"/>
    <mergeCell ref="T6:T9"/>
    <mergeCell ref="AR6:AR9"/>
    <mergeCell ref="AS4:AU4"/>
    <mergeCell ref="BB4:BC4"/>
    <mergeCell ref="R4:S4"/>
    <mergeCell ref="X4:Y4"/>
    <mergeCell ref="Z4:AA4"/>
    <mergeCell ref="AB4:AD4"/>
    <mergeCell ref="AE4:AF4"/>
    <mergeCell ref="AG4:AI4"/>
    <mergeCell ref="O6:O9"/>
    <mergeCell ref="AV6:AV9"/>
    <mergeCell ref="D4:F4"/>
    <mergeCell ref="G4:H4"/>
    <mergeCell ref="K4:L4"/>
    <mergeCell ref="P4:Q4"/>
    <mergeCell ref="I4:J4"/>
    <mergeCell ref="C6:C9"/>
    <mergeCell ref="N6:N9"/>
    <mergeCell ref="B10:B12"/>
    <mergeCell ref="B16:B17"/>
    <mergeCell ref="B13:B15"/>
    <mergeCell ref="C13:C15"/>
    <mergeCell ref="C16:C17"/>
    <mergeCell ref="N13:N15"/>
    <mergeCell ref="N16:N17"/>
    <mergeCell ref="A13:A15"/>
    <mergeCell ref="A16:A17"/>
    <mergeCell ref="BI13:BI15"/>
    <mergeCell ref="A2:C2"/>
    <mergeCell ref="A3:C3"/>
    <mergeCell ref="A6:A9"/>
    <mergeCell ref="A10:A12"/>
    <mergeCell ref="C10:C12"/>
    <mergeCell ref="BI6:BI9"/>
    <mergeCell ref="B6:B9"/>
    <mergeCell ref="A18:A21"/>
    <mergeCell ref="B18:B21"/>
    <mergeCell ref="A22:A23"/>
    <mergeCell ref="B22:B23"/>
    <mergeCell ref="C22:C23"/>
    <mergeCell ref="C18:C21"/>
    <mergeCell ref="BI22:BI23"/>
    <mergeCell ref="BK22:BK23"/>
    <mergeCell ref="BO6:BO9"/>
    <mergeCell ref="BK4:BK5"/>
    <mergeCell ref="BK6:BK9"/>
    <mergeCell ref="BK10:BK12"/>
    <mergeCell ref="BK13:BK15"/>
    <mergeCell ref="BK16:BK17"/>
    <mergeCell ref="BM4:BN4"/>
    <mergeCell ref="BK18:BK21"/>
  </mergeCells>
  <printOptions/>
  <pageMargins left="0.20972222222222223" right="0.1701388888888889" top="0.39375" bottom="0.39375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T39"/>
  <sheetViews>
    <sheetView zoomScalePageLayoutView="0" workbookViewId="0" topLeftCell="A1">
      <pane xSplit="3" ySplit="5" topLeftCell="A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O11" sqref="AO11"/>
    </sheetView>
  </sheetViews>
  <sheetFormatPr defaultColWidth="9.140625" defaultRowHeight="12.75" customHeight="1" zeroHeight="1"/>
  <cols>
    <col min="1" max="1" width="6.28125" style="1" customWidth="1"/>
    <col min="2" max="2" width="19.7109375" style="15" customWidth="1"/>
    <col min="3" max="3" width="9.140625" style="15" customWidth="1"/>
    <col min="4" max="4" width="9.28125" style="40" customWidth="1"/>
    <col min="5" max="5" width="9.140625" style="40" customWidth="1"/>
    <col min="6" max="6" width="9.8515625" style="40" customWidth="1"/>
    <col min="7" max="7" width="9.28125" style="40" customWidth="1"/>
    <col min="8" max="9" width="9.8515625" style="40" customWidth="1"/>
    <col min="10" max="14" width="9.8515625" style="3" customWidth="1"/>
    <col min="15" max="15" width="9.8515625" style="40" customWidth="1"/>
    <col min="16" max="16" width="11.140625" style="16" customWidth="1"/>
    <col min="17" max="17" width="12.57421875" style="0" customWidth="1"/>
    <col min="18" max="19" width="9.57421875" style="0" customWidth="1"/>
    <col min="20" max="24" width="9.57421875" style="15" customWidth="1"/>
    <col min="25" max="25" width="9.57421875" style="17" customWidth="1"/>
    <col min="26" max="28" width="9.57421875" style="15" customWidth="1"/>
    <col min="29" max="29" width="11.140625" style="15" customWidth="1"/>
    <col min="30" max="33" width="9.28125" style="15" customWidth="1"/>
    <col min="34" max="34" width="9.8515625" style="15" customWidth="1"/>
    <col min="35" max="37" width="9.28125" style="15" customWidth="1"/>
    <col min="38" max="38" width="9.8515625" style="15" customWidth="1"/>
    <col min="39" max="41" width="9.28125" style="15" customWidth="1"/>
    <col min="42" max="42" width="10.00390625" style="15" customWidth="1"/>
    <col min="43" max="44" width="13.00390625" style="15" customWidth="1"/>
    <col min="45" max="45" width="12.00390625" style="15" customWidth="1"/>
  </cols>
  <sheetData>
    <row r="1" spans="1:4" ht="15" customHeight="1">
      <c r="A1" s="3"/>
      <c r="B1" s="18"/>
      <c r="C1" s="18"/>
      <c r="D1" s="44"/>
    </row>
    <row r="2" spans="1:45" ht="12.75" customHeight="1">
      <c r="A2" s="168" t="s">
        <v>111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</row>
    <row r="3" spans="1:4" ht="13.5" customHeight="1">
      <c r="A3" s="144"/>
      <c r="B3" s="144"/>
      <c r="C3" s="144"/>
      <c r="D3" s="44"/>
    </row>
    <row r="4" spans="1:45" ht="34.5" customHeight="1">
      <c r="A4" s="19" t="s">
        <v>0</v>
      </c>
      <c r="B4" s="20" t="s">
        <v>1</v>
      </c>
      <c r="C4" s="21" t="s">
        <v>2</v>
      </c>
      <c r="D4" s="166" t="s">
        <v>23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7" t="s">
        <v>24</v>
      </c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 t="s">
        <v>25</v>
      </c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23" t="s">
        <v>26</v>
      </c>
      <c r="AR4" s="23" t="s">
        <v>56</v>
      </c>
      <c r="AS4" s="22" t="s">
        <v>27</v>
      </c>
    </row>
    <row r="5" spans="1:45" ht="12" customHeight="1">
      <c r="A5" s="24"/>
      <c r="B5" s="25" t="s">
        <v>10</v>
      </c>
      <c r="C5" s="24"/>
      <c r="D5" s="45" t="s">
        <v>28</v>
      </c>
      <c r="E5" s="45" t="s">
        <v>29</v>
      </c>
      <c r="F5" s="45" t="s">
        <v>30</v>
      </c>
      <c r="G5" s="45" t="s">
        <v>31</v>
      </c>
      <c r="H5" s="45" t="s">
        <v>32</v>
      </c>
      <c r="I5" s="45" t="s">
        <v>33</v>
      </c>
      <c r="J5" s="49" t="s">
        <v>34</v>
      </c>
      <c r="K5" s="49" t="s">
        <v>35</v>
      </c>
      <c r="L5" s="49" t="s">
        <v>36</v>
      </c>
      <c r="M5" s="49" t="s">
        <v>37</v>
      </c>
      <c r="N5" s="49" t="s">
        <v>38</v>
      </c>
      <c r="O5" s="45" t="s">
        <v>39</v>
      </c>
      <c r="P5" s="26" t="s">
        <v>40</v>
      </c>
      <c r="Q5" s="26" t="s">
        <v>28</v>
      </c>
      <c r="R5" s="26" t="s">
        <v>41</v>
      </c>
      <c r="S5" s="26" t="s">
        <v>30</v>
      </c>
      <c r="T5" s="27" t="s">
        <v>31</v>
      </c>
      <c r="U5" s="27" t="s">
        <v>32</v>
      </c>
      <c r="V5" s="27" t="s">
        <v>33</v>
      </c>
      <c r="W5" s="27" t="s">
        <v>34</v>
      </c>
      <c r="X5" s="27" t="s">
        <v>35</v>
      </c>
      <c r="Y5" s="11" t="s">
        <v>36</v>
      </c>
      <c r="Z5" s="27" t="s">
        <v>37</v>
      </c>
      <c r="AA5" s="27" t="s">
        <v>38</v>
      </c>
      <c r="AB5" s="27" t="s">
        <v>39</v>
      </c>
      <c r="AC5" s="27" t="s">
        <v>40</v>
      </c>
      <c r="AD5" s="27" t="s">
        <v>28</v>
      </c>
      <c r="AE5" s="27" t="s">
        <v>41</v>
      </c>
      <c r="AF5" s="27" t="s">
        <v>30</v>
      </c>
      <c r="AG5" s="27" t="s">
        <v>31</v>
      </c>
      <c r="AH5" s="27" t="s">
        <v>32</v>
      </c>
      <c r="AI5" s="27" t="s">
        <v>33</v>
      </c>
      <c r="AJ5" s="27" t="s">
        <v>34</v>
      </c>
      <c r="AK5" s="27" t="s">
        <v>35</v>
      </c>
      <c r="AL5" s="27" t="s">
        <v>36</v>
      </c>
      <c r="AM5" s="27" t="s">
        <v>37</v>
      </c>
      <c r="AN5" s="27" t="s">
        <v>38</v>
      </c>
      <c r="AO5" s="27" t="s">
        <v>39</v>
      </c>
      <c r="AP5" s="27" t="s">
        <v>40</v>
      </c>
      <c r="AQ5" s="26" t="s">
        <v>40</v>
      </c>
      <c r="AR5" s="26" t="s">
        <v>57</v>
      </c>
      <c r="AS5" s="28"/>
    </row>
    <row r="6" spans="1:45" ht="12" customHeight="1">
      <c r="A6" s="10">
        <v>1</v>
      </c>
      <c r="B6" s="29" t="s">
        <v>15</v>
      </c>
      <c r="C6" s="57">
        <v>3326.6</v>
      </c>
      <c r="D6" s="59"/>
      <c r="E6" s="59"/>
      <c r="F6" s="59"/>
      <c r="G6" s="59"/>
      <c r="H6" s="59"/>
      <c r="I6" s="59">
        <f>21886.86+42180.39+131075.62</f>
        <v>195142.87</v>
      </c>
      <c r="J6" s="65">
        <f>7396.65+27249.66</f>
        <v>34646.31</v>
      </c>
      <c r="K6" s="59">
        <f>25994.49+2714</f>
        <v>28708.49</v>
      </c>
      <c r="L6" s="59"/>
      <c r="M6" s="59"/>
      <c r="N6" s="59"/>
      <c r="O6" s="59">
        <f>3534.48+9000</f>
        <v>12534.48</v>
      </c>
      <c r="P6" s="67">
        <f aca="true" t="shared" si="0" ref="P6:P11">SUM(D6:O6)</f>
        <v>271032.14999999997</v>
      </c>
      <c r="Q6" s="119">
        <f aca="true" t="shared" si="1" ref="Q6:Q11">+C6*542614.5/160131.83</f>
        <v>11272.346014530654</v>
      </c>
      <c r="R6" s="63">
        <f aca="true" t="shared" si="2" ref="R6:R11">+C6*541516.41/160132.73</f>
        <v>11249.470920192267</v>
      </c>
      <c r="S6" s="63">
        <f aca="true" t="shared" si="3" ref="S6:S11">+C6*512405.17/160134.83</f>
        <v>10644.573941359291</v>
      </c>
      <c r="T6" s="120">
        <f aca="true" t="shared" si="4" ref="T6:T11">+C6*542581.14/160134.83</f>
        <v>11271.441823893028</v>
      </c>
      <c r="U6" s="63">
        <f aca="true" t="shared" si="5" ref="U6:U11">+C6*528764.24/160133.53</f>
        <v>10984.502251239948</v>
      </c>
      <c r="V6" s="120">
        <f aca="true" t="shared" si="6" ref="V6:V11">+C6*542620.26/160133.53</f>
        <v>11272.346003463485</v>
      </c>
      <c r="W6" s="120">
        <f aca="true" t="shared" si="7" ref="W6:W11">+C6*542619.24/160133.23</f>
        <v>11272.345932096667</v>
      </c>
      <c r="X6" s="63">
        <f aca="true" t="shared" si="8" ref="X6:X11">+C6*542611.79/160131.03</f>
        <v>11272.346031958954</v>
      </c>
      <c r="Y6" s="63">
        <f aca="true" t="shared" si="9" ref="Y6:Y11">+C6*542609.08/160130.23</f>
        <v>11272.346049387425</v>
      </c>
      <c r="Z6" s="63">
        <f aca="true" t="shared" si="10" ref="Z6:Z11">+C6*540278.96/160144.03</f>
        <v>11222.972147859648</v>
      </c>
      <c r="AA6" s="120">
        <f aca="true" t="shared" si="11" ref="AA6:AA11">+C6*496194.66/160144.03</f>
        <v>10307.22878621201</v>
      </c>
      <c r="AB6" s="59">
        <f aca="true" t="shared" si="12" ref="AB6:AB11">+C6*480512.67/160149.33</f>
        <v>9981.143524122142</v>
      </c>
      <c r="AC6" s="67">
        <f aca="true" t="shared" si="13" ref="AC6:AC11">SUM(Q6:AB6)</f>
        <v>132023.06342631552</v>
      </c>
      <c r="AD6" s="59">
        <f aca="true" t="shared" si="14" ref="AD6:AD11">+C6*35204.08/160131.83</f>
        <v>731.3342545826149</v>
      </c>
      <c r="AE6" s="59">
        <f aca="true" t="shared" si="15" ref="AE6:AE11">+C6*36346.08/160132.73</f>
        <v>755.0540712570128</v>
      </c>
      <c r="AF6" s="59">
        <f aca="true" t="shared" si="16" ref="AF6:AF11">+C6*54868.69/160134.83</f>
        <v>1139.8281320434787</v>
      </c>
      <c r="AG6" s="59">
        <f aca="true" t="shared" si="17" ref="AG6:AG11">+C6*85507.82/160134.83</f>
        <v>1776.3175819526587</v>
      </c>
      <c r="AH6" s="59">
        <f aca="true" t="shared" si="18" ref="AH6:AH11">+C6*18385.87/160133.53</f>
        <v>381.94646144377134</v>
      </c>
      <c r="AI6" s="59">
        <f aca="true" t="shared" si="19" ref="AI6:AI11">+C6*24175.53/160133.53</f>
        <v>502.2203538384496</v>
      </c>
      <c r="AJ6" s="59">
        <f aca="true" t="shared" si="20" ref="AJ6:AJ11">+C6*20168.35/160133.23</f>
        <v>418.97633058422656</v>
      </c>
      <c r="AK6" s="59">
        <f aca="true" t="shared" si="21" ref="AK6:AK11">C6*28498.6/542611.79</f>
        <v>174.71688692941962</v>
      </c>
      <c r="AL6" s="59">
        <f aca="true" t="shared" si="22" ref="AL6:AL11">+C6*91367.56/160130.23</f>
        <v>1898.1008463923392</v>
      </c>
      <c r="AM6" s="59">
        <f aca="true" t="shared" si="23" ref="AM6:AM11">+C6*137600.73/160144.03</f>
        <v>2858.318155338042</v>
      </c>
      <c r="AN6" s="59">
        <f aca="true" t="shared" si="24" ref="AN6:AN11">+C6*48121.97/160144.03</f>
        <v>999.6160668743007</v>
      </c>
      <c r="AO6" s="59">
        <f aca="true" t="shared" si="25" ref="AO6:AO11">+C6*81488.44/160149.33</f>
        <v>1692.6667411221765</v>
      </c>
      <c r="AP6" s="67">
        <f aca="true" t="shared" si="26" ref="AP6:AP11">SUM(AD6:AO6)</f>
        <v>13329.09588235849</v>
      </c>
      <c r="AQ6" s="67"/>
      <c r="AR6" s="67"/>
      <c r="AS6" s="67">
        <f aca="true" t="shared" si="27" ref="AS6:AS11">P6+AC6+AP6+AQ6+AR6</f>
        <v>416384.30930867395</v>
      </c>
    </row>
    <row r="7" spans="1:45" ht="12" customHeight="1">
      <c r="A7" s="10">
        <v>2</v>
      </c>
      <c r="B7" s="29" t="s">
        <v>16</v>
      </c>
      <c r="C7" s="57">
        <v>4451.6</v>
      </c>
      <c r="D7" s="59"/>
      <c r="E7" s="59"/>
      <c r="F7" s="59">
        <f>8388.03</f>
        <v>8388.03</v>
      </c>
      <c r="G7" s="59">
        <f>9813.26</f>
        <v>9813.26</v>
      </c>
      <c r="H7" s="59"/>
      <c r="I7" s="59">
        <f>42180.39</f>
        <v>42180.39</v>
      </c>
      <c r="J7" s="65">
        <f>7396.65+27900+21284.56</f>
        <v>56581.21000000001</v>
      </c>
      <c r="K7" s="59">
        <f>34961.4+2714</f>
        <v>37675.4</v>
      </c>
      <c r="L7" s="59">
        <f>123057.25</f>
        <v>123057.25</v>
      </c>
      <c r="M7" s="59"/>
      <c r="N7" s="59">
        <f>35631.47</f>
        <v>35631.47</v>
      </c>
      <c r="O7" s="59">
        <v>9000</v>
      </c>
      <c r="P7" s="67">
        <f t="shared" si="0"/>
        <v>322327.01</v>
      </c>
      <c r="Q7" s="119">
        <f t="shared" si="1"/>
        <v>15084.46327129341</v>
      </c>
      <c r="R7" s="63">
        <f t="shared" si="2"/>
        <v>15053.8522059544</v>
      </c>
      <c r="S7" s="63">
        <f t="shared" si="3"/>
        <v>14244.389273539058</v>
      </c>
      <c r="T7" s="120">
        <f t="shared" si="4"/>
        <v>15083.25329863591</v>
      </c>
      <c r="U7" s="63">
        <f t="shared" si="5"/>
        <v>14699.2756032044</v>
      </c>
      <c r="V7" s="120">
        <f t="shared" si="6"/>
        <v>15084.463256483514</v>
      </c>
      <c r="W7" s="120">
        <f t="shared" si="7"/>
        <v>15084.463160981639</v>
      </c>
      <c r="X7" s="63">
        <f t="shared" si="8"/>
        <v>15084.463294615667</v>
      </c>
      <c r="Y7" s="63">
        <f t="shared" si="9"/>
        <v>15084.463317938154</v>
      </c>
      <c r="Z7" s="63">
        <f t="shared" si="10"/>
        <v>15018.39199585523</v>
      </c>
      <c r="AA7" s="120">
        <f t="shared" si="11"/>
        <v>13792.959677959896</v>
      </c>
      <c r="AB7" s="59">
        <f t="shared" si="12"/>
        <v>13356.597881314898</v>
      </c>
      <c r="AC7" s="67">
        <f t="shared" si="13"/>
        <v>176671.0362377762</v>
      </c>
      <c r="AD7" s="59">
        <f t="shared" si="14"/>
        <v>978.6591618168608</v>
      </c>
      <c r="AE7" s="59">
        <f t="shared" si="15"/>
        <v>1010.400620335393</v>
      </c>
      <c r="AF7" s="59">
        <f t="shared" si="16"/>
        <v>1525.2987773115947</v>
      </c>
      <c r="AG7" s="59">
        <f t="shared" si="17"/>
        <v>2377.038221553675</v>
      </c>
      <c r="AH7" s="59">
        <f t="shared" si="18"/>
        <v>511.11431123762776</v>
      </c>
      <c r="AI7" s="59">
        <f t="shared" si="19"/>
        <v>672.0628050102937</v>
      </c>
      <c r="AJ7" s="59">
        <f t="shared" si="20"/>
        <v>560.6670574246207</v>
      </c>
      <c r="AK7" s="59">
        <f t="shared" si="21"/>
        <v>233.8031906015164</v>
      </c>
      <c r="AL7" s="59">
        <f t="shared" si="22"/>
        <v>2540.0065315337397</v>
      </c>
      <c r="AM7" s="59">
        <f t="shared" si="23"/>
        <v>3824.953135424406</v>
      </c>
      <c r="AN7" s="59">
        <f t="shared" si="24"/>
        <v>1337.669357090614</v>
      </c>
      <c r="AO7" s="59">
        <f t="shared" si="25"/>
        <v>2265.098077550497</v>
      </c>
      <c r="AP7" s="67">
        <f t="shared" si="26"/>
        <v>17836.77124689084</v>
      </c>
      <c r="AQ7" s="67"/>
      <c r="AR7" s="67"/>
      <c r="AS7" s="67">
        <f t="shared" si="27"/>
        <v>516834.817484667</v>
      </c>
    </row>
    <row r="8" spans="1:45" ht="12" customHeight="1">
      <c r="A8" s="10">
        <v>3</v>
      </c>
      <c r="B8" s="29" t="s">
        <v>18</v>
      </c>
      <c r="C8" s="57">
        <v>4132.36</v>
      </c>
      <c r="D8" s="59"/>
      <c r="E8" s="59"/>
      <c r="F8" s="59">
        <f>10931.92</f>
        <v>10931.92</v>
      </c>
      <c r="G8" s="59"/>
      <c r="H8" s="59">
        <f>4758.48</f>
        <v>4758.48</v>
      </c>
      <c r="I8" s="59">
        <f>19218.63+20098.14+42180.39</f>
        <v>81497.16</v>
      </c>
      <c r="J8" s="65">
        <f>3336.99+7396.65+27249.66</f>
        <v>37983.3</v>
      </c>
      <c r="K8" s="59">
        <f>6047.12+32361.56+24969+2714</f>
        <v>66091.68</v>
      </c>
      <c r="L8" s="59"/>
      <c r="M8" s="59"/>
      <c r="N8" s="59">
        <f>11618.17+3785.98</f>
        <v>15404.15</v>
      </c>
      <c r="O8" s="59">
        <f>10402.42+9000</f>
        <v>19402.42</v>
      </c>
      <c r="P8" s="67">
        <f t="shared" si="0"/>
        <v>236069.11</v>
      </c>
      <c r="Q8" s="119">
        <f t="shared" si="1"/>
        <v>14002.702993027682</v>
      </c>
      <c r="R8" s="63">
        <f t="shared" si="2"/>
        <v>13974.287155583994</v>
      </c>
      <c r="S8" s="63">
        <f t="shared" si="3"/>
        <v>13222.873676521216</v>
      </c>
      <c r="T8" s="120">
        <f t="shared" si="4"/>
        <v>14001.579791794202</v>
      </c>
      <c r="U8" s="63">
        <f t="shared" si="5"/>
        <v>13645.138496643394</v>
      </c>
      <c r="V8" s="120">
        <f t="shared" si="6"/>
        <v>14002.702979279853</v>
      </c>
      <c r="W8" s="120">
        <f t="shared" si="7"/>
        <v>14002.70289062676</v>
      </c>
      <c r="X8" s="63">
        <f t="shared" si="8"/>
        <v>14002.703014677416</v>
      </c>
      <c r="Y8" s="63">
        <f t="shared" si="9"/>
        <v>14002.703036327366</v>
      </c>
      <c r="Z8" s="63">
        <f t="shared" si="10"/>
        <v>13941.369922722688</v>
      </c>
      <c r="AA8" s="120">
        <f t="shared" si="11"/>
        <v>12803.817695842921</v>
      </c>
      <c r="AB8" s="59">
        <f t="shared" si="12"/>
        <v>12398.748948879149</v>
      </c>
      <c r="AC8" s="67">
        <f t="shared" si="13"/>
        <v>164001.33060192666</v>
      </c>
      <c r="AD8" s="59">
        <f t="shared" si="14"/>
        <v>908.476047696451</v>
      </c>
      <c r="AE8" s="59">
        <f t="shared" si="15"/>
        <v>937.9412138218088</v>
      </c>
      <c r="AF8" s="59">
        <f t="shared" si="16"/>
        <v>1415.9142006045781</v>
      </c>
      <c r="AG8" s="59">
        <f t="shared" si="17"/>
        <v>2206.5723931214716</v>
      </c>
      <c r="AH8" s="59">
        <f t="shared" si="18"/>
        <v>474.4604940214582</v>
      </c>
      <c r="AI8" s="59">
        <f t="shared" si="19"/>
        <v>623.866801355094</v>
      </c>
      <c r="AJ8" s="59">
        <f t="shared" si="20"/>
        <v>520.459637303263</v>
      </c>
      <c r="AK8" s="59">
        <f t="shared" si="21"/>
        <v>217.03633585993398</v>
      </c>
      <c r="AL8" s="59">
        <f t="shared" si="22"/>
        <v>2357.8536684897035</v>
      </c>
      <c r="AM8" s="59">
        <f t="shared" si="23"/>
        <v>3550.6522011641646</v>
      </c>
      <c r="AN8" s="59">
        <f t="shared" si="24"/>
        <v>1241.7403505406976</v>
      </c>
      <c r="AO8" s="59">
        <f t="shared" si="25"/>
        <v>2102.65987324705</v>
      </c>
      <c r="AP8" s="67">
        <f t="shared" si="26"/>
        <v>16557.633217225673</v>
      </c>
      <c r="AQ8" s="67"/>
      <c r="AR8" s="67"/>
      <c r="AS8" s="67">
        <f t="shared" si="27"/>
        <v>416628.0738191523</v>
      </c>
    </row>
    <row r="9" spans="1:45" ht="12" customHeight="1">
      <c r="A9" s="10">
        <v>4</v>
      </c>
      <c r="B9" s="29" t="s">
        <v>19</v>
      </c>
      <c r="C9" s="57">
        <v>1759.4</v>
      </c>
      <c r="D9" s="59"/>
      <c r="E9" s="59"/>
      <c r="F9" s="59"/>
      <c r="G9" s="59"/>
      <c r="H9" s="59"/>
      <c r="I9" s="59">
        <f>29786.55</f>
        <v>29786.55</v>
      </c>
      <c r="J9" s="66">
        <f>7396.65+37137+37323+26150+15601.89</f>
        <v>123608.54</v>
      </c>
      <c r="K9" s="59">
        <f>13786.88+3221+29447+2714</f>
        <v>49168.88</v>
      </c>
      <c r="L9" s="59"/>
      <c r="M9" s="59"/>
      <c r="N9" s="59"/>
      <c r="O9" s="59">
        <f>9000</f>
        <v>9000</v>
      </c>
      <c r="P9" s="67">
        <f t="shared" si="0"/>
        <v>211563.97</v>
      </c>
      <c r="Q9" s="119">
        <f t="shared" si="1"/>
        <v>5961.812534709684</v>
      </c>
      <c r="R9" s="63">
        <f t="shared" si="2"/>
        <v>5949.714163706571</v>
      </c>
      <c r="S9" s="63">
        <f t="shared" si="3"/>
        <v>5629.791195944069</v>
      </c>
      <c r="T9" s="120">
        <f t="shared" si="4"/>
        <v>5961.334318811218</v>
      </c>
      <c r="U9" s="63">
        <f t="shared" si="5"/>
        <v>5809.5753203966715</v>
      </c>
      <c r="V9" s="120">
        <f t="shared" si="6"/>
        <v>5961.812528856387</v>
      </c>
      <c r="W9" s="120">
        <f t="shared" si="7"/>
        <v>5961.812491111308</v>
      </c>
      <c r="X9" s="63">
        <f t="shared" si="8"/>
        <v>5961.812543927308</v>
      </c>
      <c r="Y9" s="63">
        <f t="shared" si="9"/>
        <v>5961.812553145024</v>
      </c>
      <c r="Z9" s="63">
        <f t="shared" si="10"/>
        <v>5935.699271611936</v>
      </c>
      <c r="AA9" s="120">
        <f t="shared" si="11"/>
        <v>5451.373271947758</v>
      </c>
      <c r="AB9" s="59">
        <f t="shared" si="12"/>
        <v>5278.91057426216</v>
      </c>
      <c r="AC9" s="67">
        <f t="shared" si="13"/>
        <v>69825.46076843009</v>
      </c>
      <c r="AD9" s="59">
        <f t="shared" si="14"/>
        <v>386.79417047816173</v>
      </c>
      <c r="AE9" s="59">
        <f t="shared" si="15"/>
        <v>399.3393052875574</v>
      </c>
      <c r="AF9" s="59">
        <f t="shared" si="16"/>
        <v>602.8418251419757</v>
      </c>
      <c r="AG9" s="59">
        <f t="shared" si="17"/>
        <v>939.4736829458028</v>
      </c>
      <c r="AH9" s="59">
        <f t="shared" si="18"/>
        <v>202.00703549094308</v>
      </c>
      <c r="AI9" s="59">
        <f t="shared" si="19"/>
        <v>265.618496525993</v>
      </c>
      <c r="AJ9" s="59">
        <f t="shared" si="20"/>
        <v>221.59170204710165</v>
      </c>
      <c r="AK9" s="59">
        <f t="shared" si="21"/>
        <v>92.40572682727738</v>
      </c>
      <c r="AL9" s="59">
        <f t="shared" si="22"/>
        <v>1003.8834332780262</v>
      </c>
      <c r="AM9" s="59">
        <f t="shared" si="23"/>
        <v>1511.7311857457316</v>
      </c>
      <c r="AN9" s="59">
        <f t="shared" si="24"/>
        <v>528.6852967169616</v>
      </c>
      <c r="AO9" s="59">
        <f t="shared" si="25"/>
        <v>895.231727388432</v>
      </c>
      <c r="AP9" s="67">
        <f t="shared" si="26"/>
        <v>7049.603587873964</v>
      </c>
      <c r="AQ9" s="67"/>
      <c r="AR9" s="67"/>
      <c r="AS9" s="67">
        <f t="shared" si="27"/>
        <v>288439.0343563041</v>
      </c>
    </row>
    <row r="10" spans="1:45" ht="12" customHeight="1">
      <c r="A10" s="10">
        <v>5</v>
      </c>
      <c r="B10" s="29" t="s">
        <v>20</v>
      </c>
      <c r="C10" s="57">
        <v>2396.9</v>
      </c>
      <c r="D10" s="59"/>
      <c r="E10" s="59"/>
      <c r="F10" s="59"/>
      <c r="G10" s="59"/>
      <c r="H10" s="59"/>
      <c r="I10" s="59">
        <f>42180.39</f>
        <v>42180.39</v>
      </c>
      <c r="J10" s="65">
        <f>7396.65+27900+27249.66</f>
        <v>62546.31</v>
      </c>
      <c r="K10" s="59">
        <f>15217.21+19090.49+2714</f>
        <v>37021.7</v>
      </c>
      <c r="L10" s="59"/>
      <c r="M10" s="59"/>
      <c r="N10" s="59">
        <f>3785.98</f>
        <v>3785.98</v>
      </c>
      <c r="O10" s="59">
        <v>9000</v>
      </c>
      <c r="P10" s="67">
        <f t="shared" si="0"/>
        <v>154534.38</v>
      </c>
      <c r="Q10" s="119">
        <f t="shared" si="1"/>
        <v>8122.012313541912</v>
      </c>
      <c r="R10" s="63">
        <f t="shared" si="2"/>
        <v>8105.530225638445</v>
      </c>
      <c r="S10" s="63">
        <f t="shared" si="3"/>
        <v>7669.686550845935</v>
      </c>
      <c r="T10" s="120">
        <f t="shared" si="4"/>
        <v>8121.3608211655155</v>
      </c>
      <c r="U10" s="63">
        <f t="shared" si="5"/>
        <v>7914.613553176527</v>
      </c>
      <c r="V10" s="120">
        <f t="shared" si="6"/>
        <v>8122.012305567735</v>
      </c>
      <c r="W10" s="120">
        <f t="shared" si="7"/>
        <v>8122.012254146125</v>
      </c>
      <c r="X10" s="63">
        <f t="shared" si="8"/>
        <v>8122.012326099446</v>
      </c>
      <c r="Y10" s="63">
        <f t="shared" si="9"/>
        <v>8122.012338657104</v>
      </c>
      <c r="Z10" s="63">
        <f t="shared" si="10"/>
        <v>8086.437185476099</v>
      </c>
      <c r="AA10" s="120">
        <f t="shared" si="11"/>
        <v>7426.62077727156</v>
      </c>
      <c r="AB10" s="59">
        <f t="shared" si="12"/>
        <v>7191.6680433380525</v>
      </c>
      <c r="AC10" s="67">
        <f t="shared" si="13"/>
        <v>95125.97869492444</v>
      </c>
      <c r="AD10" s="59">
        <f t="shared" si="14"/>
        <v>526.9449512442343</v>
      </c>
      <c r="AE10" s="59">
        <f t="shared" si="15"/>
        <v>544.0356830986395</v>
      </c>
      <c r="AF10" s="59">
        <f t="shared" si="16"/>
        <v>821.275190793908</v>
      </c>
      <c r="AG10" s="59">
        <f t="shared" si="17"/>
        <v>1279.8820453863786</v>
      </c>
      <c r="AH10" s="59">
        <f t="shared" si="18"/>
        <v>275.2021503741284</v>
      </c>
      <c r="AI10" s="59">
        <f t="shared" si="19"/>
        <v>361.8625521900379</v>
      </c>
      <c r="AJ10" s="59">
        <f t="shared" si="20"/>
        <v>301.8831139233249</v>
      </c>
      <c r="AK10" s="59">
        <f t="shared" si="21"/>
        <v>125.88796557479888</v>
      </c>
      <c r="AL10" s="59">
        <f t="shared" si="22"/>
        <v>1367.6299881914863</v>
      </c>
      <c r="AM10" s="59">
        <f t="shared" si="23"/>
        <v>2059.491007794671</v>
      </c>
      <c r="AN10" s="59">
        <f t="shared" si="24"/>
        <v>720.2488278395392</v>
      </c>
      <c r="AO10" s="59">
        <f t="shared" si="25"/>
        <v>1219.6094846978133</v>
      </c>
      <c r="AP10" s="67">
        <f t="shared" si="26"/>
        <v>9603.952961108962</v>
      </c>
      <c r="AQ10" s="67"/>
      <c r="AR10" s="67"/>
      <c r="AS10" s="67">
        <f t="shared" si="27"/>
        <v>259264.31165603342</v>
      </c>
    </row>
    <row r="11" spans="1:45" ht="12" customHeight="1">
      <c r="A11" s="10">
        <v>6</v>
      </c>
      <c r="B11" s="29" t="s">
        <v>21</v>
      </c>
      <c r="C11" s="57">
        <v>5365.1</v>
      </c>
      <c r="D11" s="59"/>
      <c r="E11" s="59"/>
      <c r="F11" s="59"/>
      <c r="G11" s="59"/>
      <c r="H11" s="59"/>
      <c r="I11" s="59">
        <f>42180.39</f>
        <v>42180.39</v>
      </c>
      <c r="J11" s="65">
        <f>2462.85+17014.2+7396.65+21284.56</f>
        <v>48158.259999999995</v>
      </c>
      <c r="K11" s="59">
        <f>41919.41+2714</f>
        <v>44633.41</v>
      </c>
      <c r="L11" s="59"/>
      <c r="M11" s="59"/>
      <c r="N11" s="59">
        <f>4095.46</f>
        <v>4095.46</v>
      </c>
      <c r="O11" s="59">
        <f>9000</f>
        <v>9000</v>
      </c>
      <c r="P11" s="67">
        <f t="shared" si="0"/>
        <v>148067.52</v>
      </c>
      <c r="Q11" s="119">
        <f t="shared" si="1"/>
        <v>18179.90248378477</v>
      </c>
      <c r="R11" s="63">
        <f t="shared" si="2"/>
        <v>18143.009809993247</v>
      </c>
      <c r="S11" s="63">
        <f t="shared" si="3"/>
        <v>17167.439323269024</v>
      </c>
      <c r="T11" s="120">
        <f t="shared" si="4"/>
        <v>18178.444216127125</v>
      </c>
      <c r="U11" s="63">
        <f t="shared" si="5"/>
        <v>17715.671564999535</v>
      </c>
      <c r="V11" s="120">
        <f t="shared" si="6"/>
        <v>18179.902465935775</v>
      </c>
      <c r="W11" s="120">
        <f t="shared" si="7"/>
        <v>18179.902350836237</v>
      </c>
      <c r="X11" s="63">
        <f t="shared" si="8"/>
        <v>18179.90251189292</v>
      </c>
      <c r="Y11" s="63">
        <f t="shared" si="9"/>
        <v>18179.902540001345</v>
      </c>
      <c r="Z11" s="63">
        <f t="shared" si="10"/>
        <v>18100.272912427645</v>
      </c>
      <c r="AA11" s="120">
        <f t="shared" si="11"/>
        <v>16623.37316205918</v>
      </c>
      <c r="AB11" s="59">
        <f t="shared" si="12"/>
        <v>16097.466819355412</v>
      </c>
      <c r="AC11" s="67">
        <f t="shared" si="13"/>
        <v>212925.1901606822</v>
      </c>
      <c r="AD11" s="59">
        <f t="shared" si="14"/>
        <v>1179.4869864910681</v>
      </c>
      <c r="AE11" s="59">
        <f t="shared" si="15"/>
        <v>1217.7420181870377</v>
      </c>
      <c r="AF11" s="59">
        <f t="shared" si="16"/>
        <v>1838.3009412693045</v>
      </c>
      <c r="AG11" s="59">
        <f t="shared" si="17"/>
        <v>2864.8233809097005</v>
      </c>
      <c r="AH11" s="59">
        <f t="shared" si="18"/>
        <v>615.9986052702392</v>
      </c>
      <c r="AI11" s="59">
        <f t="shared" si="19"/>
        <v>809.9748753618309</v>
      </c>
      <c r="AJ11" s="59">
        <f t="shared" si="20"/>
        <v>675.7199276190206</v>
      </c>
      <c r="AK11" s="59">
        <f t="shared" si="21"/>
        <v>281.781269183259</v>
      </c>
      <c r="AL11" s="59">
        <f t="shared" si="22"/>
        <v>3061.2339478685567</v>
      </c>
      <c r="AM11" s="59">
        <f t="shared" si="23"/>
        <v>4609.860739254533</v>
      </c>
      <c r="AN11" s="59">
        <f t="shared" si="24"/>
        <v>1612.1686287462608</v>
      </c>
      <c r="AO11" s="59">
        <f t="shared" si="25"/>
        <v>2729.9123227302925</v>
      </c>
      <c r="AP11" s="67">
        <f t="shared" si="26"/>
        <v>21497.0036428911</v>
      </c>
      <c r="AQ11" s="67"/>
      <c r="AR11" s="67"/>
      <c r="AS11" s="67">
        <f t="shared" si="27"/>
        <v>382489.71380357334</v>
      </c>
    </row>
    <row r="12" spans="1:45" ht="12" customHeight="1">
      <c r="A12" s="14">
        <v>6</v>
      </c>
      <c r="B12" s="25" t="s">
        <v>22</v>
      </c>
      <c r="C12" s="58">
        <f aca="true" t="shared" si="28" ref="C12:AS12">SUM(C6:C11)</f>
        <v>21431.96</v>
      </c>
      <c r="D12" s="60">
        <f t="shared" si="28"/>
        <v>0</v>
      </c>
      <c r="E12" s="60">
        <f t="shared" si="28"/>
        <v>0</v>
      </c>
      <c r="F12" s="60">
        <f t="shared" si="28"/>
        <v>19319.95</v>
      </c>
      <c r="G12" s="60">
        <f t="shared" si="28"/>
        <v>9813.26</v>
      </c>
      <c r="H12" s="60">
        <f t="shared" si="28"/>
        <v>4758.48</v>
      </c>
      <c r="I12" s="60">
        <f t="shared" si="28"/>
        <v>432967.75000000006</v>
      </c>
      <c r="J12" s="60">
        <f t="shared" si="28"/>
        <v>363523.93</v>
      </c>
      <c r="K12" s="60">
        <f t="shared" si="28"/>
        <v>263299.56000000006</v>
      </c>
      <c r="L12" s="60">
        <f t="shared" si="28"/>
        <v>123057.25</v>
      </c>
      <c r="M12" s="60">
        <f t="shared" si="28"/>
        <v>0</v>
      </c>
      <c r="N12" s="60">
        <f t="shared" si="28"/>
        <v>58917.060000000005</v>
      </c>
      <c r="O12" s="60">
        <f t="shared" si="28"/>
        <v>67936.9</v>
      </c>
      <c r="P12" s="68">
        <f t="shared" si="28"/>
        <v>1343594.14</v>
      </c>
      <c r="Q12" s="61">
        <f t="shared" si="28"/>
        <v>72623.23961088812</v>
      </c>
      <c r="R12" s="64">
        <f t="shared" si="28"/>
        <v>72475.86448106893</v>
      </c>
      <c r="S12" s="64">
        <f t="shared" si="28"/>
        <v>68578.7539614786</v>
      </c>
      <c r="T12" s="64">
        <f t="shared" si="28"/>
        <v>72617.414270427</v>
      </c>
      <c r="U12" s="64">
        <f t="shared" si="28"/>
        <v>70768.77678966048</v>
      </c>
      <c r="V12" s="64">
        <f t="shared" si="28"/>
        <v>72623.23953958675</v>
      </c>
      <c r="W12" s="64">
        <f t="shared" si="28"/>
        <v>72623.23907979873</v>
      </c>
      <c r="X12" s="64">
        <f t="shared" si="28"/>
        <v>72623.2397231717</v>
      </c>
      <c r="Y12" s="64">
        <f t="shared" si="28"/>
        <v>72623.23983545642</v>
      </c>
      <c r="Z12" s="64">
        <f t="shared" si="28"/>
        <v>72305.14343595324</v>
      </c>
      <c r="AA12" s="64">
        <f t="shared" si="28"/>
        <v>66405.37337129333</v>
      </c>
      <c r="AB12" s="69">
        <f t="shared" si="28"/>
        <v>64304.53579127181</v>
      </c>
      <c r="AC12" s="70">
        <f t="shared" si="28"/>
        <v>850572.0598900551</v>
      </c>
      <c r="AD12" s="62">
        <f t="shared" si="28"/>
        <v>4711.695572309391</v>
      </c>
      <c r="AE12" s="62">
        <f t="shared" si="28"/>
        <v>4864.512911987448</v>
      </c>
      <c r="AF12" s="62">
        <f t="shared" si="28"/>
        <v>7343.45906716484</v>
      </c>
      <c r="AG12" s="62">
        <f t="shared" si="28"/>
        <v>11444.107305869687</v>
      </c>
      <c r="AH12" s="62">
        <f t="shared" si="28"/>
        <v>2460.729057838168</v>
      </c>
      <c r="AI12" s="62">
        <f t="shared" si="28"/>
        <v>3235.6058842816997</v>
      </c>
      <c r="AJ12" s="62">
        <f t="shared" si="28"/>
        <v>2699.297768901557</v>
      </c>
      <c r="AK12" s="62">
        <f t="shared" si="28"/>
        <v>1125.6313749762053</v>
      </c>
      <c r="AL12" s="62">
        <f t="shared" si="28"/>
        <v>12228.708415753852</v>
      </c>
      <c r="AM12" s="62">
        <f t="shared" si="28"/>
        <v>18415.00642472155</v>
      </c>
      <c r="AN12" s="62">
        <f t="shared" si="28"/>
        <v>6440.128527808374</v>
      </c>
      <c r="AO12" s="62">
        <f t="shared" si="28"/>
        <v>10905.178226736261</v>
      </c>
      <c r="AP12" s="62">
        <f t="shared" si="28"/>
        <v>85874.06053834903</v>
      </c>
      <c r="AQ12" s="62">
        <f t="shared" si="28"/>
        <v>0</v>
      </c>
      <c r="AR12" s="62">
        <f t="shared" si="28"/>
        <v>0</v>
      </c>
      <c r="AS12" s="62">
        <f t="shared" si="28"/>
        <v>2280040.260428404</v>
      </c>
    </row>
    <row r="13" spans="4:46" ht="12.75" customHeight="1"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33"/>
      <c r="Q13" s="34"/>
      <c r="R13" s="34"/>
      <c r="S13" s="34"/>
      <c r="T13" s="34"/>
      <c r="U13" s="34"/>
      <c r="V13" s="34"/>
      <c r="W13" s="34"/>
      <c r="X13" s="34"/>
      <c r="Y13" s="39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3"/>
      <c r="AT13" s="35"/>
    </row>
    <row r="14" spans="4:45" ht="12.75" customHeight="1"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33"/>
      <c r="Q14" s="36"/>
      <c r="R14" s="36"/>
      <c r="S14" s="36"/>
      <c r="T14" s="36"/>
      <c r="U14" s="36"/>
      <c r="V14" s="36"/>
      <c r="W14" s="36"/>
      <c r="X14" s="36"/>
      <c r="Y14" s="37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</row>
    <row r="15" ht="12.75" customHeight="1">
      <c r="A15" s="16" t="s">
        <v>42</v>
      </c>
    </row>
    <row r="16" ht="12.75" customHeight="1">
      <c r="A16" s="16" t="s">
        <v>43</v>
      </c>
    </row>
    <row r="17" ht="12.75" customHeight="1">
      <c r="A17" s="16" t="s">
        <v>44</v>
      </c>
    </row>
    <row r="18" ht="12.75" customHeight="1">
      <c r="A18" s="16" t="s">
        <v>45</v>
      </c>
    </row>
    <row r="19" ht="12.75" customHeight="1">
      <c r="A19" s="16" t="s">
        <v>46</v>
      </c>
    </row>
    <row r="20" ht="12.75" customHeight="1">
      <c r="A20" s="16"/>
    </row>
    <row r="21" ht="12.75" customHeight="1">
      <c r="A21" s="16" t="s">
        <v>47</v>
      </c>
    </row>
    <row r="22" ht="12.75" customHeight="1">
      <c r="A22" s="16" t="s">
        <v>48</v>
      </c>
    </row>
    <row r="23" ht="12.75" customHeight="1">
      <c r="A23" s="16" t="s">
        <v>49</v>
      </c>
    </row>
    <row r="24" ht="12.75" customHeight="1">
      <c r="A24" s="16" t="s">
        <v>50</v>
      </c>
    </row>
    <row r="25" ht="12.75" customHeight="1">
      <c r="A25" s="16"/>
    </row>
    <row r="26" ht="12.75" customHeight="1">
      <c r="A26" s="16" t="s">
        <v>51</v>
      </c>
    </row>
    <row r="27" ht="12.75" customHeight="1"/>
    <row r="28" spans="1:45" ht="12.75" customHeight="1" hidden="1">
      <c r="A28" s="168" t="s">
        <v>52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</row>
    <row r="29" spans="1:4" ht="13.5" customHeight="1" hidden="1">
      <c r="A29" s="144"/>
      <c r="B29" s="144"/>
      <c r="C29" s="144"/>
      <c r="D29" s="44"/>
    </row>
    <row r="30" spans="1:45" ht="34.5" customHeight="1" hidden="1">
      <c r="A30" s="19" t="s">
        <v>0</v>
      </c>
      <c r="B30" s="20" t="s">
        <v>1</v>
      </c>
      <c r="C30" s="21" t="s">
        <v>2</v>
      </c>
      <c r="D30" s="166" t="s">
        <v>53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 t="s">
        <v>54</v>
      </c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7" t="s">
        <v>55</v>
      </c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38"/>
      <c r="AR30" s="38"/>
      <c r="AS30" s="22" t="s">
        <v>27</v>
      </c>
    </row>
    <row r="31" spans="1:45" ht="12" customHeight="1" hidden="1">
      <c r="A31" s="24"/>
      <c r="B31" s="25" t="s">
        <v>10</v>
      </c>
      <c r="C31" s="24"/>
      <c r="D31" s="45" t="s">
        <v>28</v>
      </c>
      <c r="E31" s="45" t="s">
        <v>29</v>
      </c>
      <c r="F31" s="45" t="s">
        <v>30</v>
      </c>
      <c r="G31" s="45" t="s">
        <v>31</v>
      </c>
      <c r="H31" s="45" t="s">
        <v>32</v>
      </c>
      <c r="I31" s="45" t="s">
        <v>33</v>
      </c>
      <c r="J31" s="49" t="s">
        <v>34</v>
      </c>
      <c r="K31" s="49" t="s">
        <v>35</v>
      </c>
      <c r="L31" s="49" t="s">
        <v>36</v>
      </c>
      <c r="M31" s="49" t="s">
        <v>37</v>
      </c>
      <c r="N31" s="49" t="s">
        <v>38</v>
      </c>
      <c r="O31" s="45" t="s">
        <v>39</v>
      </c>
      <c r="P31" s="26" t="s">
        <v>40</v>
      </c>
      <c r="Q31" s="26" t="s">
        <v>28</v>
      </c>
      <c r="R31" s="26" t="s">
        <v>41</v>
      </c>
      <c r="S31" s="26" t="s">
        <v>30</v>
      </c>
      <c r="T31" s="27" t="s">
        <v>31</v>
      </c>
      <c r="U31" s="27" t="s">
        <v>32</v>
      </c>
      <c r="V31" s="27" t="s">
        <v>33</v>
      </c>
      <c r="W31" s="27" t="s">
        <v>34</v>
      </c>
      <c r="X31" s="27" t="s">
        <v>35</v>
      </c>
      <c r="Y31" s="11" t="s">
        <v>36</v>
      </c>
      <c r="Z31" s="27" t="s">
        <v>37</v>
      </c>
      <c r="AA31" s="27" t="s">
        <v>38</v>
      </c>
      <c r="AB31" s="27" t="s">
        <v>39</v>
      </c>
      <c r="AC31" s="27" t="s">
        <v>40</v>
      </c>
      <c r="AD31" s="27" t="s">
        <v>28</v>
      </c>
      <c r="AE31" s="27" t="s">
        <v>41</v>
      </c>
      <c r="AF31" s="27" t="s">
        <v>30</v>
      </c>
      <c r="AG31" s="27" t="s">
        <v>31</v>
      </c>
      <c r="AH31" s="27" t="s">
        <v>32</v>
      </c>
      <c r="AI31" s="27" t="s">
        <v>33</v>
      </c>
      <c r="AJ31" s="27" t="s">
        <v>34</v>
      </c>
      <c r="AK31" s="27" t="s">
        <v>35</v>
      </c>
      <c r="AL31" s="27" t="s">
        <v>36</v>
      </c>
      <c r="AM31" s="27" t="s">
        <v>37</v>
      </c>
      <c r="AN31" s="27" t="s">
        <v>38</v>
      </c>
      <c r="AO31" s="27" t="s">
        <v>39</v>
      </c>
      <c r="AP31" s="27" t="s">
        <v>40</v>
      </c>
      <c r="AQ31" s="27"/>
      <c r="AR31" s="27"/>
      <c r="AS31" s="28"/>
    </row>
    <row r="32" spans="1:45" ht="12" customHeight="1" hidden="1">
      <c r="A32" s="10">
        <v>1</v>
      </c>
      <c r="B32" s="29" t="s">
        <v>15</v>
      </c>
      <c r="C32" s="10">
        <f>137+3187.77</f>
        <v>3324.77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31">
        <f aca="true" t="shared" si="29" ref="P32:P38">SUM(D32:O32)</f>
        <v>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>
        <f aca="true" t="shared" si="30" ref="AC32:AC38">SUM(Q32:AB32)</f>
        <v>0</v>
      </c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>
        <f aca="true" t="shared" si="31" ref="AP32:AP38">SUM(AD32:AO32)</f>
        <v>0</v>
      </c>
      <c r="AQ32" s="31"/>
      <c r="AR32" s="31"/>
      <c r="AS32" s="31">
        <f aca="true" t="shared" si="32" ref="AS32:AS38">SUM(AP32,AC32,P32)</f>
        <v>0</v>
      </c>
    </row>
    <row r="33" spans="1:45" ht="12" customHeight="1" hidden="1">
      <c r="A33" s="10">
        <v>2</v>
      </c>
      <c r="B33" s="29" t="s">
        <v>16</v>
      </c>
      <c r="C33" s="10">
        <v>4478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1">
        <f t="shared" si="29"/>
        <v>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>
        <f t="shared" si="30"/>
        <v>0</v>
      </c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>
        <f t="shared" si="31"/>
        <v>0</v>
      </c>
      <c r="AQ33" s="31"/>
      <c r="AR33" s="31"/>
      <c r="AS33" s="31">
        <f t="shared" si="32"/>
        <v>0</v>
      </c>
    </row>
    <row r="34" spans="1:45" ht="12" customHeight="1" hidden="1">
      <c r="A34" s="10">
        <v>3</v>
      </c>
      <c r="B34" s="29" t="s">
        <v>17</v>
      </c>
      <c r="C34" s="10">
        <f>1926.56</f>
        <v>1926.56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31">
        <f t="shared" si="29"/>
        <v>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>
        <f t="shared" si="30"/>
        <v>0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>
        <f t="shared" si="31"/>
        <v>0</v>
      </c>
      <c r="AQ34" s="31"/>
      <c r="AR34" s="31"/>
      <c r="AS34" s="31">
        <f t="shared" si="32"/>
        <v>0</v>
      </c>
    </row>
    <row r="35" spans="1:45" ht="12" customHeight="1" hidden="1">
      <c r="A35" s="10">
        <v>4</v>
      </c>
      <c r="B35" s="29" t="s">
        <v>18</v>
      </c>
      <c r="C35" s="10">
        <f>4099.85</f>
        <v>4099.85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31">
        <f t="shared" si="29"/>
        <v>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>
        <f t="shared" si="30"/>
        <v>0</v>
      </c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>
        <f t="shared" si="31"/>
        <v>0</v>
      </c>
      <c r="AQ35" s="31"/>
      <c r="AR35" s="31"/>
      <c r="AS35" s="31">
        <f t="shared" si="32"/>
        <v>0</v>
      </c>
    </row>
    <row r="36" spans="1:45" ht="12" customHeight="1" hidden="1">
      <c r="A36" s="10">
        <v>5</v>
      </c>
      <c r="B36" s="29" t="s">
        <v>19</v>
      </c>
      <c r="C36" s="10">
        <v>1764.3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31">
        <f t="shared" si="29"/>
        <v>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>
        <f t="shared" si="30"/>
        <v>0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>
        <f t="shared" si="31"/>
        <v>0</v>
      </c>
      <c r="AQ36" s="31"/>
      <c r="AR36" s="31"/>
      <c r="AS36" s="31">
        <f t="shared" si="32"/>
        <v>0</v>
      </c>
    </row>
    <row r="37" spans="1:45" ht="12" customHeight="1" hidden="1">
      <c r="A37" s="10">
        <v>6</v>
      </c>
      <c r="B37" s="29" t="s">
        <v>20</v>
      </c>
      <c r="C37" s="10">
        <v>2384.8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31">
        <f t="shared" si="29"/>
        <v>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>
        <f t="shared" si="30"/>
        <v>0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>
        <f t="shared" si="31"/>
        <v>0</v>
      </c>
      <c r="AQ37" s="31"/>
      <c r="AR37" s="31"/>
      <c r="AS37" s="31">
        <f t="shared" si="32"/>
        <v>0</v>
      </c>
    </row>
    <row r="38" spans="1:45" ht="12" customHeight="1" hidden="1">
      <c r="A38" s="10">
        <v>7</v>
      </c>
      <c r="B38" s="29" t="s">
        <v>21</v>
      </c>
      <c r="C38" s="10">
        <f>163.5+4804+78.8+305.7</f>
        <v>5352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31">
        <f t="shared" si="29"/>
        <v>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>
        <f t="shared" si="30"/>
        <v>0</v>
      </c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>
        <f t="shared" si="31"/>
        <v>0</v>
      </c>
      <c r="AQ38" s="31"/>
      <c r="AR38" s="31"/>
      <c r="AS38" s="31">
        <f t="shared" si="32"/>
        <v>0</v>
      </c>
    </row>
    <row r="39" spans="1:45" ht="12" customHeight="1" hidden="1">
      <c r="A39" s="14">
        <v>7</v>
      </c>
      <c r="B39" s="25" t="s">
        <v>22</v>
      </c>
      <c r="C39" s="14">
        <f aca="true" t="shared" si="33" ref="C39:AP39">SUM(C32:C38)</f>
        <v>23330.28</v>
      </c>
      <c r="D39" s="47">
        <f t="shared" si="33"/>
        <v>0</v>
      </c>
      <c r="E39" s="47">
        <f t="shared" si="33"/>
        <v>0</v>
      </c>
      <c r="F39" s="47">
        <f t="shared" si="33"/>
        <v>0</v>
      </c>
      <c r="G39" s="47">
        <f t="shared" si="33"/>
        <v>0</v>
      </c>
      <c r="H39" s="47">
        <f t="shared" si="33"/>
        <v>0</v>
      </c>
      <c r="I39" s="47">
        <f t="shared" si="33"/>
        <v>0</v>
      </c>
      <c r="J39" s="47">
        <f t="shared" si="33"/>
        <v>0</v>
      </c>
      <c r="K39" s="47">
        <f t="shared" si="33"/>
        <v>0</v>
      </c>
      <c r="L39" s="47">
        <f t="shared" si="33"/>
        <v>0</v>
      </c>
      <c r="M39" s="47">
        <f t="shared" si="33"/>
        <v>0</v>
      </c>
      <c r="N39" s="47">
        <f t="shared" si="33"/>
        <v>0</v>
      </c>
      <c r="O39" s="47">
        <f t="shared" si="33"/>
        <v>0</v>
      </c>
      <c r="P39" s="32">
        <f t="shared" si="33"/>
        <v>0</v>
      </c>
      <c r="Q39" s="32">
        <f t="shared" si="33"/>
        <v>0</v>
      </c>
      <c r="R39" s="32">
        <f t="shared" si="33"/>
        <v>0</v>
      </c>
      <c r="S39" s="32">
        <f t="shared" si="33"/>
        <v>0</v>
      </c>
      <c r="T39" s="32">
        <f t="shared" si="33"/>
        <v>0</v>
      </c>
      <c r="U39" s="32">
        <f t="shared" si="33"/>
        <v>0</v>
      </c>
      <c r="V39" s="32">
        <f t="shared" si="33"/>
        <v>0</v>
      </c>
      <c r="W39" s="32">
        <f t="shared" si="33"/>
        <v>0</v>
      </c>
      <c r="X39" s="32">
        <f t="shared" si="33"/>
        <v>0</v>
      </c>
      <c r="Y39" s="30">
        <f t="shared" si="33"/>
        <v>0</v>
      </c>
      <c r="Z39" s="32">
        <f t="shared" si="33"/>
        <v>0</v>
      </c>
      <c r="AA39" s="32">
        <f t="shared" si="33"/>
        <v>0</v>
      </c>
      <c r="AB39" s="32">
        <f t="shared" si="33"/>
        <v>0</v>
      </c>
      <c r="AC39" s="32">
        <f t="shared" si="33"/>
        <v>0</v>
      </c>
      <c r="AD39" s="32">
        <f t="shared" si="33"/>
        <v>0</v>
      </c>
      <c r="AE39" s="32">
        <f t="shared" si="33"/>
        <v>0</v>
      </c>
      <c r="AF39" s="32">
        <f t="shared" si="33"/>
        <v>0</v>
      </c>
      <c r="AG39" s="32">
        <f t="shared" si="33"/>
        <v>0</v>
      </c>
      <c r="AH39" s="32">
        <f t="shared" si="33"/>
        <v>0</v>
      </c>
      <c r="AI39" s="32">
        <f t="shared" si="33"/>
        <v>0</v>
      </c>
      <c r="AJ39" s="32">
        <f t="shared" si="33"/>
        <v>0</v>
      </c>
      <c r="AK39" s="32">
        <f t="shared" si="33"/>
        <v>0</v>
      </c>
      <c r="AL39" s="32">
        <f t="shared" si="33"/>
        <v>0</v>
      </c>
      <c r="AM39" s="32">
        <f t="shared" si="33"/>
        <v>0</v>
      </c>
      <c r="AN39" s="32">
        <f t="shared" si="33"/>
        <v>0</v>
      </c>
      <c r="AO39" s="32">
        <f t="shared" si="33"/>
        <v>0</v>
      </c>
      <c r="AP39" s="32">
        <f t="shared" si="33"/>
        <v>0</v>
      </c>
      <c r="AQ39" s="32"/>
      <c r="AR39" s="32"/>
      <c r="AS39" s="32">
        <f>SUM(AS32:AS38)</f>
        <v>0</v>
      </c>
    </row>
    <row r="48" ht="12.75" customHeight="1"/>
    <row r="65535" ht="12.75" customHeight="1"/>
  </sheetData>
  <sheetProtection selectLockedCells="1" selectUnlockedCells="1"/>
  <autoFilter ref="A1:C12"/>
  <mergeCells count="10">
    <mergeCell ref="A29:C29"/>
    <mergeCell ref="D30:P30"/>
    <mergeCell ref="Q30:AC30"/>
    <mergeCell ref="AD30:AP30"/>
    <mergeCell ref="A28:AS28"/>
    <mergeCell ref="A2:AS2"/>
    <mergeCell ref="A3:C3"/>
    <mergeCell ref="D4:P4"/>
    <mergeCell ref="Q4:AC4"/>
    <mergeCell ref="AD4:AP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2018-02-09T04:03:05Z</cp:lastPrinted>
  <dcterms:created xsi:type="dcterms:W3CDTF">2015-12-29T01:41:29Z</dcterms:created>
  <dcterms:modified xsi:type="dcterms:W3CDTF">2019-01-16T05:49:49Z</dcterms:modified>
  <cp:category/>
  <cp:version/>
  <cp:contentType/>
  <cp:contentStatus/>
</cp:coreProperties>
</file>