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60" activeTab="2"/>
  </bookViews>
  <sheets>
    <sheet name="53 виды работ" sheetId="1" r:id="rId1"/>
    <sheet name="142 виды работ" sheetId="2" r:id="rId2"/>
    <sheet name="202 виды работ" sheetId="3" r:id="rId3"/>
    <sheet name="142" sheetId="4" r:id="rId4"/>
    <sheet name="53" sheetId="5" r:id="rId5"/>
    <sheet name="202" sheetId="6" r:id="rId6"/>
    <sheet name="Лист1" sheetId="7" r:id="rId7"/>
  </sheets>
  <definedNames>
    <definedName name="_xlnm._FilterDatabase" localSheetId="3" hidden="1">'142'!$A$1:$C$4</definedName>
    <definedName name="_xlnm._FilterDatabase" localSheetId="1" hidden="1">'142 виды работ'!$A$1:$C$4</definedName>
    <definedName name="_xlnm._FilterDatabase" localSheetId="4" hidden="1">'53'!$A$1:$C$31</definedName>
    <definedName name="_xlnm._FilterDatabase" localSheetId="0" hidden="1">'53 виды работ'!$A$1:$C$97</definedName>
    <definedName name="_xlnm.Print_Area" localSheetId="3">'142'!$A$2:$AQ$30</definedName>
    <definedName name="_xlnm.Print_Area" localSheetId="4">'53'!$A$2:$AQ$45</definedName>
    <definedName name="ы">'202 виды работ'!$P:$P</definedName>
  </definedNames>
  <calcPr fullCalcOnLoad="1"/>
</workbook>
</file>

<file path=xl/sharedStrings.xml><?xml version="1.0" encoding="utf-8"?>
<sst xmlns="http://schemas.openxmlformats.org/spreadsheetml/2006/main" count="1316" uniqueCount="421">
  <si>
    <t>№</t>
  </si>
  <si>
    <t xml:space="preserve">Адрес дома </t>
  </si>
  <si>
    <t>Общая площадь,кв.м.</t>
  </si>
  <si>
    <t>Квартал 53</t>
  </si>
  <si>
    <t>Богатырева 5</t>
  </si>
  <si>
    <t>Богатырева 7</t>
  </si>
  <si>
    <t>Губина 15</t>
  </si>
  <si>
    <t>Губина 17</t>
  </si>
  <si>
    <t>Губина 19</t>
  </si>
  <si>
    <t>Губина 25</t>
  </si>
  <si>
    <t>Губина 25/1</t>
  </si>
  <si>
    <t>Губина 27</t>
  </si>
  <si>
    <t>Губина 33</t>
  </si>
  <si>
    <t>Губина 35</t>
  </si>
  <si>
    <t>Губина 35/1</t>
  </si>
  <si>
    <t>Губина 37</t>
  </si>
  <si>
    <t>Хабарова 17/1</t>
  </si>
  <si>
    <t>Хабарова 17/3</t>
  </si>
  <si>
    <t>Хабарова 19</t>
  </si>
  <si>
    <t>Хабарова 19/1</t>
  </si>
  <si>
    <t>Хабарова 19/3</t>
  </si>
  <si>
    <t>Хабарова 21</t>
  </si>
  <si>
    <t>Хабарова 23</t>
  </si>
  <si>
    <t>Хабарова 23/1</t>
  </si>
  <si>
    <t>Хабарова 25/1</t>
  </si>
  <si>
    <t>Хабарова 27/1</t>
  </si>
  <si>
    <t>Хабарова 27/3</t>
  </si>
  <si>
    <t>Хабарова 27/4</t>
  </si>
  <si>
    <t>Чиряева 5</t>
  </si>
  <si>
    <t>Итого:</t>
  </si>
  <si>
    <t>Квартал 142</t>
  </si>
  <si>
    <t>Б. Марлинского 1/1</t>
  </si>
  <si>
    <t>Б. Марлинского 3/1</t>
  </si>
  <si>
    <t>Б. Марлинского 10</t>
  </si>
  <si>
    <t>Богатырева 4/1</t>
  </si>
  <si>
    <t>Губина 1/1</t>
  </si>
  <si>
    <t>Северная 6</t>
  </si>
  <si>
    <t>Северная 7</t>
  </si>
  <si>
    <t>Ф Попова 17/1</t>
  </si>
  <si>
    <t>Ф Попова 17/2</t>
  </si>
  <si>
    <t>Ф Попова 19/2</t>
  </si>
  <si>
    <t>Текущий ремонт</t>
  </si>
  <si>
    <t>АЗР</t>
  </si>
  <si>
    <t>Профилактический ремонт</t>
  </si>
  <si>
    <t>ВСЕГО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</si>
  <si>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</si>
  <si>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</si>
  <si>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</si>
  <si>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</si>
  <si>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</si>
  <si>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</si>
  <si>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</si>
  <si>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</si>
  <si>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</si>
  <si>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</si>
  <si>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</si>
  <si>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</si>
  <si>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 за год</t>
  </si>
  <si>
    <t>Замена задвижки</t>
  </si>
  <si>
    <t>Косметический ремонт подъезда</t>
  </si>
  <si>
    <t>Промывка системы отопления</t>
  </si>
  <si>
    <t>Замена общедомовых вентилей и сборок в техэтажах, галереях, чердаках, подъездах и эл.узлах</t>
  </si>
  <si>
    <t>Сброс снега с кровли</t>
  </si>
  <si>
    <t>Замена общедомовых трубопроводов ХГВС, ЦО и КНС на черную трубу в техэтажах, галереях, чердаках, подъездах и эл.узлах</t>
  </si>
  <si>
    <t>Замена трубопроводов КНС на ПВХ</t>
  </si>
  <si>
    <t>диаметр</t>
  </si>
  <si>
    <t>Кол-во, шт</t>
  </si>
  <si>
    <t xml:space="preserve">диаметр </t>
  </si>
  <si>
    <t>Кол-во., шт</t>
  </si>
  <si>
    <t>диаметр труб</t>
  </si>
  <si>
    <t>Кол-во., м</t>
  </si>
  <si>
    <t>Утепление трубопровода КНС</t>
  </si>
  <si>
    <t>Кол-во, м3</t>
  </si>
  <si>
    <t>Кол-во, м</t>
  </si>
  <si>
    <t>Аварийно-заявочный ремонт включает:</t>
  </si>
  <si>
    <t>- круглосуточное аварийное прикрытие;</t>
  </si>
  <si>
    <t>- устранение течей системы ХГВС, КНС, отопления;</t>
  </si>
  <si>
    <t>- замена аварийных участков трубопровода ХГВС, КНС, отопления до 5 метров;</t>
  </si>
  <si>
    <t>- прочистка труб КНС;</t>
  </si>
  <si>
    <t>Профилактический ремонт:</t>
  </si>
  <si>
    <t>- поддержание нормального состояния инженерных реконструкций;</t>
  </si>
  <si>
    <t>- прочистка вентканалов, системы КНС;</t>
  </si>
  <si>
    <t>- мелкие плотницкие работы;</t>
  </si>
  <si>
    <t>Текущий ремонт: см. Приложение 1.</t>
  </si>
  <si>
    <t>Кол-во, м2</t>
  </si>
  <si>
    <t>кв.</t>
  </si>
  <si>
    <t>м</t>
  </si>
  <si>
    <t>Утепление трубопровода КНС, отопления, ХГВС</t>
  </si>
  <si>
    <t>м3</t>
  </si>
  <si>
    <t>Утепление трубопроводов ХГВС, отопления, КНС</t>
  </si>
  <si>
    <t>Квартал 202</t>
  </si>
  <si>
    <t>м2</t>
  </si>
  <si>
    <t>Кол-во, шт.</t>
  </si>
  <si>
    <t>М-Н 202,  1</t>
  </si>
  <si>
    <t>М-Н 202,  3</t>
  </si>
  <si>
    <t>М-Н 202,  4</t>
  </si>
  <si>
    <t>М-Н 202,  5</t>
  </si>
  <si>
    <t>М-Н 202,  6</t>
  </si>
  <si>
    <t>М-Н 202,  7</t>
  </si>
  <si>
    <t>М-Н 202,  8</t>
  </si>
  <si>
    <t>М-Н 202,  10</t>
  </si>
  <si>
    <t>М-Н 202,  11</t>
  </si>
  <si>
    <t>М-Н 202,  12</t>
  </si>
  <si>
    <t>М-Н 202,  13</t>
  </si>
  <si>
    <t>М-Н 202,  14/1</t>
  </si>
  <si>
    <t>М-Н 202,  14/2</t>
  </si>
  <si>
    <t>М-Н 202,  15</t>
  </si>
  <si>
    <t>М-Н 202,  17</t>
  </si>
  <si>
    <t>М-Н 202,  18</t>
  </si>
  <si>
    <t>М-Н 202,  16/1</t>
  </si>
  <si>
    <t>М-Н 202,  16/2</t>
  </si>
  <si>
    <t>М-Н 202,  18/1</t>
  </si>
  <si>
    <t>М-Н 202,  19</t>
  </si>
  <si>
    <t>М-Н 202,  25</t>
  </si>
  <si>
    <t>М-Н 202,  25/1</t>
  </si>
  <si>
    <t>М-Н 202,  25/2</t>
  </si>
  <si>
    <t>Покраска фасада</t>
  </si>
  <si>
    <t>Квартира, №</t>
  </si>
  <si>
    <t>Подъезд</t>
  </si>
  <si>
    <t>Картира №</t>
  </si>
  <si>
    <t>кв или подъед</t>
  </si>
  <si>
    <t>кв или подъезд</t>
  </si>
  <si>
    <t>подъезд</t>
  </si>
  <si>
    <t>Обустройство санточки</t>
  </si>
  <si>
    <t>шт</t>
  </si>
  <si>
    <t>Изготовление и монтаж регистра отопления</t>
  </si>
  <si>
    <t>замена участка трубы отопления</t>
  </si>
  <si>
    <t>п.м</t>
  </si>
  <si>
    <t>кв</t>
  </si>
  <si>
    <t>Замена трубопроводов ХГВС  и отопления на ППРС</t>
  </si>
  <si>
    <t>Замена трубопроводов ХГВС и отопления на ППРС</t>
  </si>
  <si>
    <t>Опрессовка ВПУ</t>
  </si>
  <si>
    <t>ХГВС/отопл/КНС</t>
  </si>
  <si>
    <t>хгвс/отопл/кнс</t>
  </si>
  <si>
    <t>кол-во,шт</t>
  </si>
  <si>
    <t>под.</t>
  </si>
  <si>
    <t>Квартира, подъезд</t>
  </si>
  <si>
    <t>Утепление тамбура</t>
  </si>
  <si>
    <t>Прокладка обратного трубопр ГВС ППРС</t>
  </si>
  <si>
    <t>Устройство ограждения свайного поля</t>
  </si>
  <si>
    <t>Сброс снега с крыши</t>
  </si>
  <si>
    <t>Замена стекол</t>
  </si>
  <si>
    <t>Ремонт кровли балкона</t>
  </si>
  <si>
    <t>Выполнение по техническому обслуживанию ООО "Байкал Сервис" за 2015 год.</t>
  </si>
  <si>
    <t>Устройство ограждающей решетки в подъезде</t>
  </si>
  <si>
    <t>Трубы диаметр</t>
  </si>
  <si>
    <t>Отделка оконных откосов</t>
  </si>
  <si>
    <t>Утепление межпанельных швов</t>
  </si>
  <si>
    <t xml:space="preserve">устройство ограждения полисадника из труб </t>
  </si>
  <si>
    <t>прокладка водопровода для полива цветов</t>
  </si>
  <si>
    <t>диам</t>
  </si>
  <si>
    <t>Ревизия эл/уз, задвиж, грязевиков, установка сварных кранов Д15-4шт. Кран шар. Д15-2шт. Моном 6 шт.</t>
  </si>
  <si>
    <t>установка доводчика</t>
  </si>
  <si>
    <t>смена сгона</t>
  </si>
  <si>
    <t>Диам</t>
  </si>
  <si>
    <t>Подъезд, кв.</t>
  </si>
  <si>
    <t>Установка фильтров ХВС</t>
  </si>
  <si>
    <t>смена сгонов</t>
  </si>
  <si>
    <t>замена циркуляционного насоса</t>
  </si>
  <si>
    <t>установка греющего кабеля</t>
  </si>
  <si>
    <t xml:space="preserve">прокладка греющего кабеля </t>
  </si>
  <si>
    <t>Замена входных дверей</t>
  </si>
  <si>
    <t xml:space="preserve">Установка стеклопакета </t>
  </si>
  <si>
    <t>Ремонт крылец, площадок</t>
  </si>
  <si>
    <t>Ревизия узла ввода (задвижек, грязевика)</t>
  </si>
  <si>
    <t>Ревизия эл/уз, задвиж, грязевиков, установка сварных кранов Д15-4шт. Кран шар. Д15-2шт. Маном 6 шт.</t>
  </si>
  <si>
    <t>Ремонт фасада</t>
  </si>
  <si>
    <t>Установка приборов учета ХГВС</t>
  </si>
  <si>
    <t>Установка приборов учета на ХГВС</t>
  </si>
  <si>
    <t xml:space="preserve">кв </t>
  </si>
  <si>
    <t>Ремонт кровли</t>
  </si>
  <si>
    <t>Ремонт вентканала</t>
  </si>
  <si>
    <t>обшивка люков на крыше</t>
  </si>
  <si>
    <t>замена запорной арматуры ХГВС и отопления</t>
  </si>
  <si>
    <t>ремонт ограждения полисадника</t>
  </si>
  <si>
    <t>под</t>
  </si>
  <si>
    <t>Прочистка, промывка общедомовой канализации</t>
  </si>
  <si>
    <t>устройство ограждения забора</t>
  </si>
  <si>
    <t>Утепление узла ввода</t>
  </si>
  <si>
    <t>Ремонт тамбура</t>
  </si>
  <si>
    <t>Утепление тех этажа</t>
  </si>
  <si>
    <t>Утепление подъезда</t>
  </si>
  <si>
    <t>Утепление т/э</t>
  </si>
  <si>
    <t>Устройство греющего кабеля на трубы ХГВС, КНС</t>
  </si>
  <si>
    <t>кол-во, шт.</t>
  </si>
  <si>
    <t>Генеральная уборка в подъездах</t>
  </si>
  <si>
    <t>Замена входной двери</t>
  </si>
  <si>
    <t>кол-во, шт</t>
  </si>
  <si>
    <t>кол-во, м2</t>
  </si>
  <si>
    <t>Устройство сан/точки</t>
  </si>
  <si>
    <t xml:space="preserve">Установка приборов учета </t>
  </si>
  <si>
    <t>Установка почтовых ящиков</t>
  </si>
  <si>
    <t>Замена задвижки ППРС</t>
  </si>
  <si>
    <t xml:space="preserve">диам, </t>
  </si>
  <si>
    <t>ГВС д=63</t>
  </si>
  <si>
    <t>д=63</t>
  </si>
  <si>
    <t>э/у</t>
  </si>
  <si>
    <t>д=50</t>
  </si>
  <si>
    <t>кв.126,109-228</t>
  </si>
  <si>
    <t>д=25</t>
  </si>
  <si>
    <t>ХГВС д=25</t>
  </si>
  <si>
    <t>д=20</t>
  </si>
  <si>
    <t>отопл.</t>
  </si>
  <si>
    <t>кв.44-48</t>
  </si>
  <si>
    <t>кв.64</t>
  </si>
  <si>
    <t>кв.48-60</t>
  </si>
  <si>
    <t>д=110</t>
  </si>
  <si>
    <t>кв.1-9</t>
  </si>
  <si>
    <t>д=76</t>
  </si>
  <si>
    <t>кв.2а</t>
  </si>
  <si>
    <t>Выполнение по техническому обслуживанию ООО "Алекс" за 2018 год</t>
  </si>
  <si>
    <t>хгвс</t>
  </si>
  <si>
    <t>отопл</t>
  </si>
  <si>
    <t>п.3</t>
  </si>
  <si>
    <t>гвс</t>
  </si>
  <si>
    <t>эт.1</t>
  </si>
  <si>
    <t>кв.4</t>
  </si>
  <si>
    <t>кв.54,58</t>
  </si>
  <si>
    <t>Утепление тамбуров</t>
  </si>
  <si>
    <t>п1</t>
  </si>
  <si>
    <t>кв.308</t>
  </si>
  <si>
    <t>Установка затворов</t>
  </si>
  <si>
    <t>д=80</t>
  </si>
  <si>
    <t>кв.22-30</t>
  </si>
  <si>
    <t>кв.62-78</t>
  </si>
  <si>
    <t>кв.66-78</t>
  </si>
  <si>
    <t>кв.73-77</t>
  </si>
  <si>
    <t>п.1</t>
  </si>
  <si>
    <t>Уборка и вывоз снега с придомов территории</t>
  </si>
  <si>
    <t>д=32</t>
  </si>
  <si>
    <t>п.2</t>
  </si>
  <si>
    <t>кв.24-28</t>
  </si>
  <si>
    <t>кв.107,204</t>
  </si>
  <si>
    <t>кв.204</t>
  </si>
  <si>
    <t>Замена душевого трапа</t>
  </si>
  <si>
    <t>кв.304-305-308</t>
  </si>
  <si>
    <t>кв.204-204</t>
  </si>
  <si>
    <t>кв.63-75</t>
  </si>
  <si>
    <t>кв.46-62</t>
  </si>
  <si>
    <t>кв.34</t>
  </si>
  <si>
    <t>кв.38,39</t>
  </si>
  <si>
    <t>Замена перил и ограждения на крыльцах</t>
  </si>
  <si>
    <t>п.1,2,3,4</t>
  </si>
  <si>
    <t>д=57</t>
  </si>
  <si>
    <t>кв.502-503,417</t>
  </si>
  <si>
    <t>кв.56</t>
  </si>
  <si>
    <t>кв.120,208</t>
  </si>
  <si>
    <t>кв.20</t>
  </si>
  <si>
    <t>да</t>
  </si>
  <si>
    <t>110м</t>
  </si>
  <si>
    <t>Устройство перил и козырька над подъедами</t>
  </si>
  <si>
    <t>д=40</t>
  </si>
  <si>
    <t>кв.16,61,74</t>
  </si>
  <si>
    <t>кв.9,27,61</t>
  </si>
  <si>
    <t>кв.25</t>
  </si>
  <si>
    <t>кв.78,79</t>
  </si>
  <si>
    <t>кв.48,61</t>
  </si>
  <si>
    <t>д=15</t>
  </si>
  <si>
    <t>отопл/хгвс</t>
  </si>
  <si>
    <t>т/э п.3</t>
  </si>
  <si>
    <t>кв.5</t>
  </si>
  <si>
    <t>Установка входных дверей</t>
  </si>
  <si>
    <t>п.1,2,4,5,6</t>
  </si>
  <si>
    <t>кв.7</t>
  </si>
  <si>
    <t>7</t>
  </si>
  <si>
    <t>Изготовление и монтаж скамеек</t>
  </si>
  <si>
    <t>под./квар</t>
  </si>
  <si>
    <t>кв.110</t>
  </si>
  <si>
    <t>кв.1</t>
  </si>
  <si>
    <t>кв.3</t>
  </si>
  <si>
    <t>Утепление цоколь.перкрытия</t>
  </si>
  <si>
    <t>1,2,3,4</t>
  </si>
  <si>
    <t>п.3,4</t>
  </si>
  <si>
    <t>п.1,2</t>
  </si>
  <si>
    <t>Ремонт дверных откосов</t>
  </si>
  <si>
    <t>п.1,2,3,4,5,6,7</t>
  </si>
  <si>
    <t>Замена газового крана, переопрессовка</t>
  </si>
  <si>
    <t>Устройства подмостья во дворе</t>
  </si>
  <si>
    <t>д=10</t>
  </si>
  <si>
    <t>кв.43</t>
  </si>
  <si>
    <t>,</t>
  </si>
  <si>
    <t>Прокладка летнего водопровода</t>
  </si>
  <si>
    <t>Кол-во,м</t>
  </si>
  <si>
    <t>10</t>
  </si>
  <si>
    <t>кв.15-23</t>
  </si>
  <si>
    <t>кв.58</t>
  </si>
  <si>
    <t>кв.26</t>
  </si>
  <si>
    <t>кв.14</t>
  </si>
  <si>
    <t>кв.37,41,45</t>
  </si>
  <si>
    <t>Утепление фасада</t>
  </si>
  <si>
    <t>Квартира</t>
  </si>
  <si>
    <t>4</t>
  </si>
  <si>
    <t>кв.21</t>
  </si>
  <si>
    <t>п.1,3,4</t>
  </si>
  <si>
    <t>п.1,3</t>
  </si>
  <si>
    <t>Кол-во, м2/м3</t>
  </si>
  <si>
    <t>68,5м2</t>
  </si>
  <si>
    <t>6,5м2</t>
  </si>
  <si>
    <t>2,6м3</t>
  </si>
  <si>
    <t>кв.2</t>
  </si>
  <si>
    <t>Ревизия эл/уз, задвиж, грязевиков</t>
  </si>
  <si>
    <t>Установка фильтров ХГВС</t>
  </si>
  <si>
    <t>Устройство ограждения на чердак</t>
  </si>
  <si>
    <t>8</t>
  </si>
  <si>
    <t>кв.70-74</t>
  </si>
  <si>
    <t>кв.61,62</t>
  </si>
  <si>
    <t xml:space="preserve">Ремонт полов </t>
  </si>
  <si>
    <t>Качели на детск. Площадке</t>
  </si>
  <si>
    <t>1шт</t>
  </si>
  <si>
    <t>Замена перил в подъезде</t>
  </si>
  <si>
    <t>п.3,4(фонар)</t>
  </si>
  <si>
    <t>п.2,4(фонар)</t>
  </si>
  <si>
    <t>кв.45</t>
  </si>
  <si>
    <t>п.1,2,3</t>
  </si>
  <si>
    <t>п.2,3</t>
  </si>
  <si>
    <t>п.4</t>
  </si>
  <si>
    <t>п.1,3,7</t>
  </si>
  <si>
    <t>Установка доски объявлений</t>
  </si>
  <si>
    <t>п.1,3,4,6,8</t>
  </si>
  <si>
    <t>п.1,4</t>
  </si>
  <si>
    <t>п.2,3,4</t>
  </si>
  <si>
    <t>Обследование технич-го сост-я элементов консткуций дома</t>
  </si>
  <si>
    <t>кв.46</t>
  </si>
  <si>
    <t>15,4</t>
  </si>
  <si>
    <t>кв.69</t>
  </si>
  <si>
    <t>10,4</t>
  </si>
  <si>
    <t>кв.63</t>
  </si>
  <si>
    <t>14</t>
  </si>
  <si>
    <t>17</t>
  </si>
  <si>
    <t>п.2,3 (темп.шов)</t>
  </si>
  <si>
    <t>кв.30</t>
  </si>
  <si>
    <t>28,8</t>
  </si>
  <si>
    <t>29,1</t>
  </si>
  <si>
    <t>кв.111</t>
  </si>
  <si>
    <t>кв.44</t>
  </si>
  <si>
    <t>кв.17</t>
  </si>
  <si>
    <t>кв.11</t>
  </si>
  <si>
    <t>кв.8</t>
  </si>
  <si>
    <t>кв.29</t>
  </si>
  <si>
    <t>кв.40</t>
  </si>
  <si>
    <t>кв.48</t>
  </si>
  <si>
    <t>кв.51</t>
  </si>
  <si>
    <t>кв.52</t>
  </si>
  <si>
    <t>кв.31</t>
  </si>
  <si>
    <t>кв.70</t>
  </si>
  <si>
    <t>кв.214</t>
  </si>
  <si>
    <t>кв.61</t>
  </si>
  <si>
    <t>кв.132</t>
  </si>
  <si>
    <t>п.6 (э/у)</t>
  </si>
  <si>
    <t>кв.5,9</t>
  </si>
  <si>
    <t>кв.91,95</t>
  </si>
  <si>
    <t>п.7</t>
  </si>
  <si>
    <t>кв.13</t>
  </si>
  <si>
    <t>кв.15,16</t>
  </si>
  <si>
    <t>кв.55</t>
  </si>
  <si>
    <t>кв.416</t>
  </si>
  <si>
    <t>кв.31,35</t>
  </si>
  <si>
    <t>кв13,17</t>
  </si>
  <si>
    <t>кв.102-213</t>
  </si>
  <si>
    <t>п.1,2,3,4,5,6</t>
  </si>
  <si>
    <t>д=100</t>
  </si>
  <si>
    <t>кв.57,60</t>
  </si>
  <si>
    <t>кв.47,63</t>
  </si>
  <si>
    <t>кв.62</t>
  </si>
  <si>
    <t>кв.16</t>
  </si>
  <si>
    <t>кв.18,57, 58,60</t>
  </si>
  <si>
    <t>кв.32</t>
  </si>
  <si>
    <t>кв.36 (п/суш)</t>
  </si>
  <si>
    <t>кв.4,8</t>
  </si>
  <si>
    <t>Ремонт спортивной площадки</t>
  </si>
  <si>
    <t xml:space="preserve">Установка расходомера </t>
  </si>
  <si>
    <t>1 (отопл)</t>
  </si>
  <si>
    <t>Ремонт оконных откосов</t>
  </si>
  <si>
    <t>п.4(крыльцо)</t>
  </si>
  <si>
    <t>Ремонт ограждения санитарной точки</t>
  </si>
  <si>
    <t>кнс</t>
  </si>
  <si>
    <t>д=108</t>
  </si>
  <si>
    <t>кв.35 (шахта)</t>
  </si>
  <si>
    <t>кв.7,11,18</t>
  </si>
  <si>
    <t>Установка обратного клапана</t>
  </si>
  <si>
    <t>д=150</t>
  </si>
  <si>
    <t>магист.</t>
  </si>
  <si>
    <t>0,5</t>
  </si>
  <si>
    <t>кв.35,39,43</t>
  </si>
  <si>
    <t>кв.336-337</t>
  </si>
  <si>
    <t>кв.403-503</t>
  </si>
  <si>
    <t>0,7</t>
  </si>
  <si>
    <t>кв.59</t>
  </si>
  <si>
    <t>35,5</t>
  </si>
  <si>
    <t>30,1</t>
  </si>
  <si>
    <t>кв.18</t>
  </si>
  <si>
    <t>кв.51,55</t>
  </si>
  <si>
    <t>кв.15</t>
  </si>
  <si>
    <t>кв.54</t>
  </si>
  <si>
    <t>кв.53</t>
  </si>
  <si>
    <t>кв.19</t>
  </si>
  <si>
    <t>кв.35</t>
  </si>
  <si>
    <t>кв.245</t>
  </si>
  <si>
    <t>кв.137</t>
  </si>
  <si>
    <t>кв.249</t>
  </si>
  <si>
    <t>кв.12,16,20</t>
  </si>
  <si>
    <t>кв.51,57</t>
  </si>
  <si>
    <t>кв.73</t>
  </si>
  <si>
    <t>кв.70,74</t>
  </si>
  <si>
    <t>Утепление элеваторного узла</t>
  </si>
  <si>
    <t>0,84</t>
  </si>
  <si>
    <t>кв.49,53</t>
  </si>
  <si>
    <t>хвс</t>
  </si>
  <si>
    <t>0,4</t>
  </si>
  <si>
    <t xml:space="preserve">Проведение испытаний и электрических испытаний в электроустановках </t>
  </si>
  <si>
    <t>Обследование грунта площадки МКД</t>
  </si>
  <si>
    <t>Наблюдение за деформацией фундаментов</t>
  </si>
  <si>
    <t>Изготовление техпаспорта МКД</t>
  </si>
  <si>
    <t>п.2,4</t>
  </si>
  <si>
    <t>Разработка ПСД на усиление конструкций МКД</t>
  </si>
  <si>
    <t>Поверка приборов учета</t>
  </si>
  <si>
    <t>2</t>
  </si>
  <si>
    <t>1</t>
  </si>
  <si>
    <t>5</t>
  </si>
  <si>
    <t>3</t>
  </si>
  <si>
    <t>Покупка прибора учета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</si>
</sst>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0.0000"/>
    <numFmt numFmtId="191" formatCode="0.00000"/>
    <numFmt numFmtId="192" formatCode="0.000000"/>
    <numFmt numFmtId="193" formatCode="mmm/yyyy"/>
    <numFmt numFmtId="194" formatCode="0.0000000"/>
    <numFmt numFmtId="195" formatCode="#,##0.00&quot;р.&quot;"/>
  </numFmts>
  <fonts count="54">
    <font>
      <sz val="10"/>
      <name val="Arial"/>
      <family val="0"/>
    </font>
    <font>
      <sz val="8"/>
      <name val="Arial"/>
      <family val="2"/>
    </font>
    <font>
      <b/>
      <i/>
      <sz val="8"/>
      <name val="Arial"/>
      <family val="2"/>
    </font>
    <font>
      <b/>
      <i/>
      <sz val="11"/>
      <name val="Arial"/>
      <family val="2"/>
    </font>
    <font>
      <b/>
      <i/>
      <sz val="10"/>
      <color indexed="17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i/>
      <sz val="9"/>
      <name val="Arial"/>
      <family val="2"/>
    </font>
    <font>
      <b/>
      <i/>
      <sz val="8"/>
      <color indexed="17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9"/>
      <name val="Arial"/>
      <family val="2"/>
    </font>
    <font>
      <b/>
      <sz val="8"/>
      <color indexed="8"/>
      <name val="Arial"/>
      <family val="2"/>
    </font>
    <font>
      <sz val="8"/>
      <color indexed="6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FF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9C3FF"/>
        <bgColor indexed="64"/>
      </patternFill>
    </fill>
    <fill>
      <patternFill patternType="solid">
        <fgColor rgb="FF00B0F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612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vertical="center" wrapText="1"/>
    </xf>
    <xf numFmtId="188" fontId="6" fillId="0" borderId="15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5" fillId="0" borderId="15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/>
    </xf>
    <xf numFmtId="0" fontId="1" fillId="0" borderId="0" xfId="0" applyFont="1" applyAlignment="1">
      <alignment/>
    </xf>
    <xf numFmtId="187" fontId="1" fillId="0" borderId="15" xfId="60" applyFont="1" applyBorder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188" fontId="6" fillId="0" borderId="0" xfId="0" applyNumberFormat="1" applyFont="1" applyFill="1" applyAlignment="1">
      <alignment horizontal="center"/>
    </xf>
    <xf numFmtId="187" fontId="6" fillId="0" borderId="0" xfId="60" applyFont="1" applyFill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9" fontId="1" fillId="0" borderId="15" xfId="0" applyNumberFormat="1" applyFont="1" applyFill="1" applyBorder="1" applyAlignment="1">
      <alignment horizontal="center" vertical="center" wrapText="1"/>
    </xf>
    <xf numFmtId="49" fontId="6" fillId="0" borderId="15" xfId="6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49" fontId="0" fillId="0" borderId="0" xfId="0" applyNumberFormat="1" applyFill="1" applyAlignment="1">
      <alignment horizontal="center"/>
    </xf>
    <xf numFmtId="49" fontId="1" fillId="0" borderId="15" xfId="6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49" fontId="1" fillId="0" borderId="0" xfId="0" applyNumberFormat="1" applyFont="1" applyFill="1" applyAlignment="1">
      <alignment horizontal="center"/>
    </xf>
    <xf numFmtId="0" fontId="1" fillId="0" borderId="0" xfId="0" applyFont="1" applyAlignment="1">
      <alignment/>
    </xf>
    <xf numFmtId="0" fontId="5" fillId="0" borderId="15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vertical="center" wrapText="1"/>
    </xf>
    <xf numFmtId="49" fontId="1" fillId="0" borderId="15" xfId="60" applyNumberFormat="1" applyFont="1" applyFill="1" applyBorder="1" applyAlignment="1">
      <alignment horizontal="center"/>
    </xf>
    <xf numFmtId="0" fontId="6" fillId="0" borderId="15" xfId="0" applyFont="1" applyFill="1" applyBorder="1" applyAlignment="1">
      <alignment horizontal="left" vertical="center" wrapText="1"/>
    </xf>
    <xf numFmtId="188" fontId="6" fillId="0" borderId="15" xfId="0" applyNumberFormat="1" applyFont="1" applyFill="1" applyBorder="1" applyAlignment="1">
      <alignment horizontal="center" vertical="center" wrapText="1"/>
    </xf>
    <xf numFmtId="187" fontId="13" fillId="0" borderId="15" xfId="60" applyFont="1" applyFill="1" applyBorder="1" applyAlignment="1">
      <alignment horizontal="center" vertical="center" wrapText="1"/>
    </xf>
    <xf numFmtId="49" fontId="13" fillId="0" borderId="15" xfId="6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1" fillId="0" borderId="18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8" fillId="0" borderId="20" xfId="0" applyFont="1" applyBorder="1" applyAlignment="1">
      <alignment horizontal="center" vertical="center" wrapText="1"/>
    </xf>
    <xf numFmtId="0" fontId="1" fillId="32" borderId="15" xfId="0" applyFont="1" applyFill="1" applyBorder="1" applyAlignment="1">
      <alignment horizontal="center" vertical="center" wrapText="1"/>
    </xf>
    <xf numFmtId="0" fontId="1" fillId="32" borderId="15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horizontal="center"/>
    </xf>
    <xf numFmtId="0" fontId="6" fillId="0" borderId="15" xfId="0" applyFont="1" applyFill="1" applyBorder="1" applyAlignment="1">
      <alignment/>
    </xf>
    <xf numFmtId="0" fontId="6" fillId="0" borderId="15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14" fontId="15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1" fillId="32" borderId="18" xfId="0" applyFont="1" applyFill="1" applyBorder="1" applyAlignment="1">
      <alignment horizontal="center" vertical="center" wrapText="1"/>
    </xf>
    <xf numFmtId="0" fontId="1" fillId="32" borderId="13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49" fontId="1" fillId="0" borderId="18" xfId="60" applyNumberFormat="1" applyFont="1" applyFill="1" applyBorder="1" applyAlignment="1">
      <alignment horizontal="center"/>
    </xf>
    <xf numFmtId="49" fontId="1" fillId="0" borderId="13" xfId="6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 wrapText="1"/>
    </xf>
    <xf numFmtId="0" fontId="5" fillId="32" borderId="15" xfId="0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49" fontId="16" fillId="0" borderId="15" xfId="0" applyNumberFormat="1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5" fillId="0" borderId="23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2" borderId="15" xfId="0" applyFont="1" applyFill="1" applyBorder="1" applyAlignment="1">
      <alignment horizontal="center"/>
    </xf>
    <xf numFmtId="0" fontId="1" fillId="32" borderId="15" xfId="0" applyFont="1" applyFill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1" fillId="32" borderId="18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1" fillId="32" borderId="15" xfId="60" applyNumberFormat="1" applyFont="1" applyFill="1" applyBorder="1" applyAlignment="1">
      <alignment horizontal="center"/>
    </xf>
    <xf numFmtId="49" fontId="1" fillId="32" borderId="15" xfId="60" applyNumberFormat="1" applyFont="1" applyFill="1" applyBorder="1" applyAlignment="1">
      <alignment horizontal="center"/>
    </xf>
    <xf numFmtId="0" fontId="1" fillId="32" borderId="0" xfId="0" applyFont="1" applyFill="1" applyAlignment="1">
      <alignment/>
    </xf>
    <xf numFmtId="0" fontId="1" fillId="32" borderId="15" xfId="0" applyFont="1" applyFill="1" applyBorder="1" applyAlignment="1">
      <alignment/>
    </xf>
    <xf numFmtId="0" fontId="1" fillId="32" borderId="15" xfId="0" applyNumberFormat="1" applyFont="1" applyFill="1" applyBorder="1" applyAlignment="1">
      <alignment horizontal="center" vertical="center" wrapText="1"/>
    </xf>
    <xf numFmtId="0" fontId="1" fillId="32" borderId="13" xfId="0" applyFont="1" applyFill="1" applyBorder="1" applyAlignment="1">
      <alignment horizontal="center" vertical="center" wrapText="1"/>
    </xf>
    <xf numFmtId="0" fontId="1" fillId="32" borderId="15" xfId="0" applyFont="1" applyFill="1" applyBorder="1" applyAlignment="1">
      <alignment horizontal="center"/>
    </xf>
    <xf numFmtId="0" fontId="1" fillId="32" borderId="15" xfId="0" applyFont="1" applyFill="1" applyBorder="1" applyAlignment="1">
      <alignment horizontal="center" vertical="center"/>
    </xf>
    <xf numFmtId="49" fontId="1" fillId="32" borderId="15" xfId="60" applyNumberFormat="1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49" fontId="1" fillId="0" borderId="15" xfId="60" applyNumberFormat="1" applyFont="1" applyFill="1" applyBorder="1" applyAlignment="1">
      <alignment horizontal="center" vertical="center"/>
    </xf>
    <xf numFmtId="49" fontId="1" fillId="0" borderId="15" xfId="60" applyNumberFormat="1" applyFont="1" applyFill="1" applyBorder="1" applyAlignment="1">
      <alignment/>
    </xf>
    <xf numFmtId="0" fontId="1" fillId="32" borderId="25" xfId="0" applyFont="1" applyFill="1" applyBorder="1" applyAlignment="1">
      <alignment horizontal="center" vertical="center" wrapText="1"/>
    </xf>
    <xf numFmtId="0" fontId="1" fillId="32" borderId="15" xfId="0" applyFont="1" applyFill="1" applyBorder="1" applyAlignment="1">
      <alignment horizontal="left" vertical="center" wrapText="1"/>
    </xf>
    <xf numFmtId="0" fontId="1" fillId="32" borderId="19" xfId="0" applyFont="1" applyFill="1" applyBorder="1" applyAlignment="1">
      <alignment horizontal="center" vertical="center" wrapText="1"/>
    </xf>
    <xf numFmtId="0" fontId="0" fillId="32" borderId="13" xfId="0" applyFill="1" applyBorder="1" applyAlignment="1">
      <alignment horizontal="center" vertical="center" wrapText="1"/>
    </xf>
    <xf numFmtId="49" fontId="1" fillId="0" borderId="18" xfId="60" applyNumberFormat="1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49" fontId="8" fillId="32" borderId="15" xfId="0" applyNumberFormat="1" applyFont="1" applyFill="1" applyBorder="1" applyAlignment="1">
      <alignment horizontal="center" vertical="center" wrapText="1"/>
    </xf>
    <xf numFmtId="0" fontId="1" fillId="32" borderId="0" xfId="0" applyFont="1" applyFill="1" applyAlignment="1">
      <alignment/>
    </xf>
    <xf numFmtId="188" fontId="1" fillId="32" borderId="15" xfId="0" applyNumberFormat="1" applyFont="1" applyFill="1" applyBorder="1" applyAlignment="1">
      <alignment horizontal="center" vertical="center" wrapText="1"/>
    </xf>
    <xf numFmtId="49" fontId="1" fillId="32" borderId="13" xfId="60" applyNumberFormat="1" applyFont="1" applyFill="1" applyBorder="1" applyAlignment="1">
      <alignment horizontal="center"/>
    </xf>
    <xf numFmtId="0" fontId="1" fillId="32" borderId="0" xfId="0" applyFont="1" applyFill="1" applyAlignment="1">
      <alignment horizontal="center"/>
    </xf>
    <xf numFmtId="49" fontId="1" fillId="32" borderId="15" xfId="60" applyNumberFormat="1" applyFont="1" applyFill="1" applyBorder="1" applyAlignment="1">
      <alignment/>
    </xf>
    <xf numFmtId="0" fontId="1" fillId="32" borderId="15" xfId="60" applyNumberFormat="1" applyFont="1" applyFill="1" applyBorder="1" applyAlignment="1">
      <alignment horizontal="center"/>
    </xf>
    <xf numFmtId="49" fontId="5" fillId="0" borderId="22" xfId="0" applyNumberFormat="1" applyFont="1" applyFill="1" applyBorder="1" applyAlignment="1">
      <alignment horizontal="center" vertical="center" wrapText="1"/>
    </xf>
    <xf numFmtId="0" fontId="5" fillId="32" borderId="21" xfId="0" applyFont="1" applyFill="1" applyBorder="1" applyAlignment="1">
      <alignment horizontal="center" vertical="center" wrapText="1"/>
    </xf>
    <xf numFmtId="0" fontId="1" fillId="32" borderId="21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vertical="center" wrapText="1"/>
    </xf>
    <xf numFmtId="0" fontId="1" fillId="32" borderId="26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32" borderId="26" xfId="0" applyFont="1" applyFill="1" applyBorder="1" applyAlignment="1">
      <alignment horizontal="center" vertical="center" wrapText="1"/>
    </xf>
    <xf numFmtId="0" fontId="1" fillId="32" borderId="21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1" fillId="32" borderId="15" xfId="0" applyFont="1" applyFill="1" applyBorder="1" applyAlignment="1">
      <alignment vertical="center" wrapText="1"/>
    </xf>
    <xf numFmtId="0" fontId="0" fillId="32" borderId="0" xfId="0" applyFont="1" applyFill="1" applyAlignment="1">
      <alignment/>
    </xf>
    <xf numFmtId="49" fontId="1" fillId="32" borderId="15" xfId="60" applyNumberFormat="1" applyFont="1" applyFill="1" applyBorder="1" applyAlignment="1">
      <alignment horizontal="center" vertical="center"/>
    </xf>
    <xf numFmtId="187" fontId="1" fillId="0" borderId="0" xfId="0" applyNumberFormat="1" applyFont="1" applyFill="1" applyBorder="1" applyAlignment="1">
      <alignment horizontal="center" vertical="center" wrapText="1"/>
    </xf>
    <xf numFmtId="171" fontId="1" fillId="0" borderId="0" xfId="0" applyNumberFormat="1" applyFont="1" applyAlignment="1">
      <alignment/>
    </xf>
    <xf numFmtId="187" fontId="0" fillId="0" borderId="0" xfId="0" applyNumberFormat="1" applyFont="1" applyAlignment="1">
      <alignment/>
    </xf>
    <xf numFmtId="187" fontId="1" fillId="0" borderId="0" xfId="0" applyNumberFormat="1" applyFont="1" applyAlignment="1">
      <alignment/>
    </xf>
    <xf numFmtId="187" fontId="1" fillId="0" borderId="0" xfId="0" applyNumberFormat="1" applyFont="1" applyFill="1" applyAlignment="1">
      <alignment/>
    </xf>
    <xf numFmtId="171" fontId="0" fillId="0" borderId="0" xfId="0" applyNumberFormat="1" applyAlignment="1">
      <alignment/>
    </xf>
    <xf numFmtId="187" fontId="0" fillId="0" borderId="0" xfId="0" applyNumberFormat="1" applyAlignment="1">
      <alignment/>
    </xf>
    <xf numFmtId="0" fontId="17" fillId="0" borderId="15" xfId="0" applyFont="1" applyFill="1" applyBorder="1" applyAlignment="1">
      <alignment horizontal="center" vertical="center" wrapText="1"/>
    </xf>
    <xf numFmtId="171" fontId="1" fillId="0" borderId="0" xfId="0" applyNumberFormat="1" applyFont="1" applyAlignment="1">
      <alignment/>
    </xf>
    <xf numFmtId="171" fontId="5" fillId="0" borderId="0" xfId="0" applyNumberFormat="1" applyFont="1" applyAlignment="1">
      <alignment/>
    </xf>
    <xf numFmtId="187" fontId="1" fillId="0" borderId="0" xfId="60" applyFont="1" applyAlignment="1">
      <alignment/>
    </xf>
    <xf numFmtId="171" fontId="5" fillId="0" borderId="0" xfId="0" applyNumberFormat="1" applyFont="1" applyAlignment="1">
      <alignment/>
    </xf>
    <xf numFmtId="187" fontId="5" fillId="0" borderId="0" xfId="60" applyFont="1" applyAlignment="1">
      <alignment/>
    </xf>
    <xf numFmtId="171" fontId="1" fillId="0" borderId="0" xfId="0" applyNumberFormat="1" applyFont="1" applyAlignment="1">
      <alignment/>
    </xf>
    <xf numFmtId="0" fontId="1" fillId="0" borderId="1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32" borderId="15" xfId="0" applyFont="1" applyFill="1" applyBorder="1" applyAlignment="1">
      <alignment horizontal="center" wrapText="1"/>
    </xf>
    <xf numFmtId="0" fontId="5" fillId="32" borderId="15" xfId="0" applyFont="1" applyFill="1" applyBorder="1" applyAlignment="1">
      <alignment horizontal="center" vertical="center" wrapText="1"/>
    </xf>
    <xf numFmtId="0" fontId="1" fillId="32" borderId="0" xfId="0" applyFont="1" applyFill="1" applyAlignment="1">
      <alignment horizontal="center"/>
    </xf>
    <xf numFmtId="0" fontId="1" fillId="32" borderId="15" xfId="0" applyFont="1" applyFill="1" applyBorder="1" applyAlignment="1">
      <alignment/>
    </xf>
    <xf numFmtId="0" fontId="1" fillId="0" borderId="15" xfId="0" applyFont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5" xfId="0" applyFont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0" fontId="1" fillId="33" borderId="0" xfId="0" applyFont="1" applyFill="1" applyAlignment="1">
      <alignment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14" fontId="1" fillId="0" borderId="0" xfId="0" applyNumberFormat="1" applyFont="1" applyFill="1" applyBorder="1" applyAlignment="1">
      <alignment horizontal="left" vertical="center" wrapText="1"/>
    </xf>
    <xf numFmtId="14" fontId="1" fillId="0" borderId="0" xfId="0" applyNumberFormat="1" applyFont="1" applyFill="1" applyBorder="1" applyAlignment="1">
      <alignment horizontal="center" vertical="center" wrapText="1"/>
    </xf>
    <xf numFmtId="188" fontId="6" fillId="34" borderId="15" xfId="0" applyNumberFormat="1" applyFont="1" applyFill="1" applyBorder="1" applyAlignment="1">
      <alignment horizontal="center" vertical="center" wrapText="1"/>
    </xf>
    <xf numFmtId="187" fontId="1" fillId="34" borderId="15" xfId="60" applyFont="1" applyFill="1" applyBorder="1" applyAlignment="1">
      <alignment/>
    </xf>
    <xf numFmtId="187" fontId="6" fillId="34" borderId="15" xfId="60" applyFont="1" applyFill="1" applyBorder="1" applyAlignment="1">
      <alignment horizontal="center" vertical="center" wrapText="1"/>
    </xf>
    <xf numFmtId="187" fontId="1" fillId="34" borderId="15" xfId="6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/>
    </xf>
    <xf numFmtId="187" fontId="6" fillId="34" borderId="15" xfId="60" applyFont="1" applyFill="1" applyBorder="1" applyAlignment="1">
      <alignment/>
    </xf>
    <xf numFmtId="187" fontId="6" fillId="35" borderId="0" xfId="60" applyFont="1" applyFill="1" applyAlignment="1">
      <alignment horizontal="center"/>
    </xf>
    <xf numFmtId="187" fontId="14" fillId="34" borderId="15" xfId="60" applyFont="1" applyFill="1" applyBorder="1" applyAlignment="1">
      <alignment horizontal="center" vertical="center" wrapText="1"/>
    </xf>
    <xf numFmtId="0" fontId="1" fillId="34" borderId="0" xfId="0" applyFont="1" applyFill="1" applyAlignment="1">
      <alignment/>
    </xf>
    <xf numFmtId="4" fontId="6" fillId="34" borderId="15" xfId="60" applyNumberFormat="1" applyFont="1" applyFill="1" applyBorder="1" applyAlignment="1">
      <alignment/>
    </xf>
    <xf numFmtId="187" fontId="1" fillId="34" borderId="15" xfId="60" applyFont="1" applyFill="1" applyBorder="1" applyAlignment="1">
      <alignment horizontal="center"/>
    </xf>
    <xf numFmtId="187" fontId="1" fillId="34" borderId="15" xfId="60" applyFont="1" applyFill="1" applyBorder="1" applyAlignment="1">
      <alignment horizontal="center" vertical="center" wrapText="1"/>
    </xf>
    <xf numFmtId="187" fontId="1" fillId="34" borderId="15" xfId="60" applyFont="1" applyFill="1" applyBorder="1" applyAlignment="1">
      <alignment/>
    </xf>
    <xf numFmtId="187" fontId="53" fillId="34" borderId="15" xfId="60" applyFont="1" applyFill="1" applyBorder="1" applyAlignment="1">
      <alignment horizontal="center" vertical="center" wrapText="1"/>
    </xf>
    <xf numFmtId="187" fontId="1" fillId="34" borderId="22" xfId="60" applyFont="1" applyFill="1" applyBorder="1" applyAlignment="1">
      <alignment/>
    </xf>
    <xf numFmtId="187" fontId="6" fillId="34" borderId="22" xfId="60" applyFont="1" applyFill="1" applyBorder="1" applyAlignment="1">
      <alignment horizontal="center" vertical="center" wrapText="1"/>
    </xf>
    <xf numFmtId="187" fontId="5" fillId="34" borderId="15" xfId="60" applyFont="1" applyFill="1" applyBorder="1" applyAlignment="1">
      <alignment/>
    </xf>
    <xf numFmtId="0" fontId="1" fillId="36" borderId="15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1" fillId="32" borderId="18" xfId="0" applyFont="1" applyFill="1" applyBorder="1" applyAlignment="1">
      <alignment horizontal="left" vertical="center" wrapText="1"/>
    </xf>
    <xf numFmtId="0" fontId="1" fillId="32" borderId="18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37" borderId="15" xfId="0" applyFont="1" applyFill="1" applyBorder="1" applyAlignment="1">
      <alignment horizontal="center" vertical="center" wrapText="1"/>
    </xf>
    <xf numFmtId="0" fontId="1" fillId="37" borderId="15" xfId="0" applyFont="1" applyFill="1" applyBorder="1" applyAlignment="1">
      <alignment horizontal="center" vertical="center" wrapText="1"/>
    </xf>
    <xf numFmtId="0" fontId="1" fillId="32" borderId="15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1" fillId="36" borderId="15" xfId="0" applyFont="1" applyFill="1" applyBorder="1" applyAlignment="1">
      <alignment horizontal="center" vertical="center" wrapText="1"/>
    </xf>
    <xf numFmtId="0" fontId="1" fillId="36" borderId="15" xfId="0" applyFont="1" applyFill="1" applyBorder="1" applyAlignment="1">
      <alignment vertical="center" wrapText="1"/>
    </xf>
    <xf numFmtId="0" fontId="1" fillId="0" borderId="18" xfId="0" applyFont="1" applyBorder="1" applyAlignment="1">
      <alignment horizontal="center" vertical="center"/>
    </xf>
    <xf numFmtId="0" fontId="1" fillId="37" borderId="15" xfId="0" applyFont="1" applyFill="1" applyBorder="1" applyAlignment="1">
      <alignment horizontal="center" vertical="center" wrapText="1"/>
    </xf>
    <xf numFmtId="0" fontId="0" fillId="36" borderId="15" xfId="0" applyFill="1" applyBorder="1" applyAlignment="1">
      <alignment horizontal="center" vertical="center" wrapText="1"/>
    </xf>
    <xf numFmtId="0" fontId="5" fillId="36" borderId="15" xfId="0" applyFont="1" applyFill="1" applyBorder="1" applyAlignment="1">
      <alignment horizontal="center" vertical="center" wrapText="1"/>
    </xf>
    <xf numFmtId="9" fontId="1" fillId="37" borderId="15" xfId="0" applyNumberFormat="1" applyFont="1" applyFill="1" applyBorder="1" applyAlignment="1">
      <alignment horizontal="center" vertical="center" wrapText="1"/>
    </xf>
    <xf numFmtId="49" fontId="1" fillId="37" borderId="15" xfId="60" applyNumberFormat="1" applyFont="1" applyFill="1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5" fillId="37" borderId="15" xfId="0" applyFont="1" applyFill="1" applyBorder="1" applyAlignment="1">
      <alignment horizontal="center" vertical="center" wrapText="1"/>
    </xf>
    <xf numFmtId="0" fontId="1" fillId="35" borderId="15" xfId="0" applyFont="1" applyFill="1" applyBorder="1" applyAlignment="1">
      <alignment horizontal="center" vertical="center" wrapText="1"/>
    </xf>
    <xf numFmtId="0" fontId="5" fillId="35" borderId="15" xfId="0" applyFont="1" applyFill="1" applyBorder="1" applyAlignment="1">
      <alignment horizontal="center" vertical="center" wrapText="1"/>
    </xf>
    <xf numFmtId="0" fontId="1" fillId="35" borderId="15" xfId="0" applyFont="1" applyFill="1" applyBorder="1" applyAlignment="1">
      <alignment horizontal="center" vertical="center" wrapText="1"/>
    </xf>
    <xf numFmtId="49" fontId="1" fillId="35" borderId="15" xfId="60" applyNumberFormat="1" applyFont="1" applyFill="1" applyBorder="1" applyAlignment="1">
      <alignment horizontal="center"/>
    </xf>
    <xf numFmtId="0" fontId="1" fillId="35" borderId="0" xfId="0" applyFont="1" applyFill="1" applyAlignment="1">
      <alignment/>
    </xf>
    <xf numFmtId="0" fontId="0" fillId="32" borderId="15" xfId="0" applyFont="1" applyFill="1" applyBorder="1" applyAlignment="1">
      <alignment horizontal="center" vertical="center" wrapText="1"/>
    </xf>
    <xf numFmtId="0" fontId="1" fillId="37" borderId="0" xfId="0" applyFont="1" applyFill="1" applyAlignment="1">
      <alignment/>
    </xf>
    <xf numFmtId="0" fontId="0" fillId="0" borderId="15" xfId="0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 wrapText="1"/>
    </xf>
    <xf numFmtId="49" fontId="1" fillId="32" borderId="18" xfId="60" applyNumberFormat="1" applyFont="1" applyFill="1" applyBorder="1" applyAlignment="1">
      <alignment horizontal="center" vertical="center"/>
    </xf>
    <xf numFmtId="0" fontId="1" fillId="37" borderId="15" xfId="0" applyFont="1" applyFill="1" applyBorder="1" applyAlignment="1">
      <alignment horizontal="center" vertical="center" wrapText="1"/>
    </xf>
    <xf numFmtId="0" fontId="1" fillId="35" borderId="15" xfId="0" applyFont="1" applyFill="1" applyBorder="1" applyAlignment="1">
      <alignment horizontal="center" vertical="center" wrapText="1"/>
    </xf>
    <xf numFmtId="0" fontId="1" fillId="35" borderId="15" xfId="0" applyFont="1" applyFill="1" applyBorder="1" applyAlignment="1">
      <alignment horizontal="center" vertical="center" wrapText="1"/>
    </xf>
    <xf numFmtId="49" fontId="1" fillId="32" borderId="19" xfId="60" applyNumberFormat="1" applyFont="1" applyFill="1" applyBorder="1" applyAlignment="1">
      <alignment horizontal="center" vertical="center"/>
    </xf>
    <xf numFmtId="0" fontId="1" fillId="32" borderId="18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37" borderId="15" xfId="0" applyFont="1" applyFill="1" applyBorder="1" applyAlignment="1">
      <alignment horizontal="center" vertical="center" wrapText="1"/>
    </xf>
    <xf numFmtId="49" fontId="5" fillId="0" borderId="27" xfId="0" applyNumberFormat="1" applyFont="1" applyFill="1" applyBorder="1" applyAlignment="1">
      <alignment horizontal="center" vertical="center" wrapText="1"/>
    </xf>
    <xf numFmtId="0" fontId="1" fillId="35" borderId="15" xfId="0" applyFont="1" applyFill="1" applyBorder="1" applyAlignment="1">
      <alignment horizontal="center" vertical="center" wrapText="1"/>
    </xf>
    <xf numFmtId="0" fontId="1" fillId="36" borderId="15" xfId="0" applyFont="1" applyFill="1" applyBorder="1" applyAlignment="1">
      <alignment horizontal="center" vertical="center" wrapText="1"/>
    </xf>
    <xf numFmtId="187" fontId="1" fillId="32" borderId="15" xfId="60" applyFont="1" applyFill="1" applyBorder="1" applyAlignment="1">
      <alignment horizontal="center" vertical="center"/>
    </xf>
    <xf numFmtId="187" fontId="1" fillId="0" borderId="15" xfId="60" applyFont="1" applyFill="1" applyBorder="1" applyAlignment="1">
      <alignment horizontal="center" vertical="center"/>
    </xf>
    <xf numFmtId="49" fontId="1" fillId="32" borderId="13" xfId="60" applyNumberFormat="1" applyFont="1" applyFill="1" applyBorder="1" applyAlignment="1">
      <alignment horizontal="center" vertical="center"/>
    </xf>
    <xf numFmtId="0" fontId="1" fillId="37" borderId="15" xfId="0" applyFont="1" applyFill="1" applyBorder="1" applyAlignment="1">
      <alignment horizontal="center" vertical="center" wrapText="1"/>
    </xf>
    <xf numFmtId="9" fontId="1" fillId="37" borderId="15" xfId="0" applyNumberFormat="1" applyFont="1" applyFill="1" applyBorder="1" applyAlignment="1">
      <alignment horizontal="center" vertical="center" wrapText="1"/>
    </xf>
    <xf numFmtId="0" fontId="1" fillId="36" borderId="15" xfId="0" applyFont="1" applyFill="1" applyBorder="1" applyAlignment="1">
      <alignment vertical="center" wrapText="1"/>
    </xf>
    <xf numFmtId="49" fontId="1" fillId="0" borderId="15" xfId="60" applyNumberFormat="1" applyFont="1" applyFill="1" applyBorder="1" applyAlignment="1">
      <alignment horizontal="center" vertical="center" wrapText="1"/>
    </xf>
    <xf numFmtId="49" fontId="8" fillId="32" borderId="15" xfId="0" applyNumberFormat="1" applyFont="1" applyFill="1" applyBorder="1" applyAlignment="1">
      <alignment vertical="center" wrapText="1"/>
    </xf>
    <xf numFmtId="0" fontId="5" fillId="0" borderId="22" xfId="0" applyFont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7" borderId="15" xfId="0" applyFont="1" applyFill="1" applyBorder="1" applyAlignment="1">
      <alignment horizontal="center" vertical="center" wrapText="1"/>
    </xf>
    <xf numFmtId="49" fontId="1" fillId="0" borderId="19" xfId="60" applyNumberFormat="1" applyFont="1" applyFill="1" applyBorder="1" applyAlignment="1">
      <alignment horizontal="center" vertical="center"/>
    </xf>
    <xf numFmtId="49" fontId="1" fillId="0" borderId="13" xfId="60" applyNumberFormat="1" applyFont="1" applyFill="1" applyBorder="1" applyAlignment="1">
      <alignment horizontal="center" vertical="center"/>
    </xf>
    <xf numFmtId="0" fontId="1" fillId="35" borderId="13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/>
    </xf>
    <xf numFmtId="0" fontId="1" fillId="37" borderId="18" xfId="0" applyFont="1" applyFill="1" applyBorder="1" applyAlignment="1">
      <alignment horizontal="center"/>
    </xf>
    <xf numFmtId="0" fontId="1" fillId="37" borderId="19" xfId="0" applyFont="1" applyFill="1" applyBorder="1" applyAlignment="1">
      <alignment horizontal="center"/>
    </xf>
    <xf numFmtId="0" fontId="1" fillId="37" borderId="13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32" borderId="18" xfId="0" applyFont="1" applyFill="1" applyBorder="1" applyAlignment="1">
      <alignment horizontal="center"/>
    </xf>
    <xf numFmtId="0" fontId="1" fillId="32" borderId="19" xfId="0" applyFont="1" applyFill="1" applyBorder="1" applyAlignment="1">
      <alignment horizontal="center"/>
    </xf>
    <xf numFmtId="0" fontId="1" fillId="32" borderId="13" xfId="0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3" xfId="0" applyFont="1" applyFill="1" applyBorder="1" applyAlignment="1">
      <alignment horizontal="center" vertical="center"/>
    </xf>
    <xf numFmtId="49" fontId="1" fillId="32" borderId="15" xfId="60" applyNumberFormat="1" applyFont="1" applyFill="1" applyBorder="1" applyAlignment="1">
      <alignment horizontal="center" wrapText="1"/>
    </xf>
    <xf numFmtId="49" fontId="1" fillId="35" borderId="15" xfId="60" applyNumberFormat="1" applyFont="1" applyFill="1" applyBorder="1" applyAlignment="1">
      <alignment horizontal="center" wrapText="1"/>
    </xf>
    <xf numFmtId="49" fontId="1" fillId="32" borderId="15" xfId="60" applyNumberFormat="1" applyFont="1" applyFill="1" applyBorder="1" applyAlignment="1">
      <alignment horizontal="center" vertical="center" wrapText="1"/>
    </xf>
    <xf numFmtId="0" fontId="1" fillId="35" borderId="18" xfId="0" applyFont="1" applyFill="1" applyBorder="1" applyAlignment="1">
      <alignment horizontal="center" vertical="center" wrapText="1"/>
    </xf>
    <xf numFmtId="0" fontId="1" fillId="35" borderId="15" xfId="0" applyFont="1" applyFill="1" applyBorder="1" applyAlignment="1">
      <alignment horizontal="center" vertical="center" wrapText="1"/>
    </xf>
    <xf numFmtId="0" fontId="1" fillId="36" borderId="15" xfId="0" applyFont="1" applyFill="1" applyBorder="1" applyAlignment="1">
      <alignment horizontal="center" vertical="center" wrapText="1"/>
    </xf>
    <xf numFmtId="0" fontId="8" fillId="35" borderId="13" xfId="0" applyFon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171" fontId="1" fillId="35" borderId="0" xfId="0" applyNumberFormat="1" applyFont="1" applyFill="1" applyAlignment="1">
      <alignment/>
    </xf>
    <xf numFmtId="0" fontId="0" fillId="35" borderId="0" xfId="0" applyFont="1" applyFill="1" applyAlignment="1">
      <alignment/>
    </xf>
    <xf numFmtId="187" fontId="0" fillId="35" borderId="0" xfId="0" applyNumberFormat="1" applyFont="1" applyFill="1" applyAlignment="1">
      <alignment/>
    </xf>
    <xf numFmtId="4" fontId="1" fillId="34" borderId="0" xfId="0" applyNumberFormat="1" applyFont="1" applyFill="1" applyAlignment="1">
      <alignment/>
    </xf>
    <xf numFmtId="0" fontId="1" fillId="37" borderId="15" xfId="0" applyFont="1" applyFill="1" applyBorder="1" applyAlignment="1">
      <alignment horizontal="center" vertical="center" wrapText="1"/>
    </xf>
    <xf numFmtId="0" fontId="1" fillId="32" borderId="19" xfId="0" applyFont="1" applyFill="1" applyBorder="1" applyAlignment="1">
      <alignment horizontal="center" vertical="center" wrapText="1"/>
    </xf>
    <xf numFmtId="0" fontId="1" fillId="35" borderId="18" xfId="0" applyFont="1" applyFill="1" applyBorder="1" applyAlignment="1">
      <alignment horizontal="center" vertical="center" wrapText="1"/>
    </xf>
    <xf numFmtId="0" fontId="1" fillId="35" borderId="13" xfId="0" applyFont="1" applyFill="1" applyBorder="1" applyAlignment="1">
      <alignment horizontal="center" vertical="center" wrapText="1"/>
    </xf>
    <xf numFmtId="0" fontId="1" fillId="37" borderId="15" xfId="0" applyFont="1" applyFill="1" applyBorder="1" applyAlignment="1">
      <alignment horizontal="center" vertical="center" wrapText="1"/>
    </xf>
    <xf numFmtId="0" fontId="1" fillId="35" borderId="15" xfId="0" applyFont="1" applyFill="1" applyBorder="1" applyAlignment="1">
      <alignment horizontal="center" vertical="center" wrapText="1"/>
    </xf>
    <xf numFmtId="0" fontId="1" fillId="37" borderId="19" xfId="0" applyFont="1" applyFill="1" applyBorder="1" applyAlignment="1">
      <alignment horizontal="center"/>
    </xf>
    <xf numFmtId="0" fontId="1" fillId="35" borderId="15" xfId="0" applyFont="1" applyFill="1" applyBorder="1" applyAlignment="1">
      <alignment horizontal="center" vertical="center" wrapText="1"/>
    </xf>
    <xf numFmtId="0" fontId="1" fillId="35" borderId="15" xfId="0" applyFont="1" applyFill="1" applyBorder="1" applyAlignment="1">
      <alignment horizontal="center" vertical="center" wrapText="1"/>
    </xf>
    <xf numFmtId="0" fontId="1" fillId="36" borderId="15" xfId="0" applyFont="1" applyFill="1" applyBorder="1" applyAlignment="1">
      <alignment horizontal="center" vertical="center" wrapText="1"/>
    </xf>
    <xf numFmtId="0" fontId="1" fillId="36" borderId="15" xfId="0" applyFont="1" applyFill="1" applyBorder="1" applyAlignment="1">
      <alignment vertical="center" wrapText="1"/>
    </xf>
    <xf numFmtId="0" fontId="1" fillId="37" borderId="15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87" fontId="1" fillId="0" borderId="0" xfId="0" applyNumberFormat="1" applyFont="1" applyBorder="1" applyAlignment="1">
      <alignment horizontal="center" vertical="center" wrapText="1"/>
    </xf>
    <xf numFmtId="0" fontId="1" fillId="37" borderId="13" xfId="0" applyFont="1" applyFill="1" applyBorder="1" applyAlignment="1">
      <alignment horizontal="center" vertical="center" wrapText="1"/>
    </xf>
    <xf numFmtId="0" fontId="1" fillId="37" borderId="19" xfId="0" applyFont="1" applyFill="1" applyBorder="1" applyAlignment="1">
      <alignment horizontal="center" vertical="center" wrapText="1"/>
    </xf>
    <xf numFmtId="0" fontId="1" fillId="37" borderId="15" xfId="0" applyFont="1" applyFill="1" applyBorder="1" applyAlignment="1">
      <alignment horizontal="center" vertical="center" wrapText="1"/>
    </xf>
    <xf numFmtId="0" fontId="1" fillId="35" borderId="15" xfId="0" applyFont="1" applyFill="1" applyBorder="1" applyAlignment="1">
      <alignment horizontal="center" vertical="center" wrapText="1"/>
    </xf>
    <xf numFmtId="0" fontId="1" fillId="35" borderId="19" xfId="0" applyFont="1" applyFill="1" applyBorder="1" applyAlignment="1">
      <alignment horizontal="center" vertical="center" wrapText="1"/>
    </xf>
    <xf numFmtId="49" fontId="1" fillId="32" borderId="13" xfId="60" applyNumberFormat="1" applyFont="1" applyFill="1" applyBorder="1" applyAlignment="1">
      <alignment horizontal="center" vertical="center"/>
    </xf>
    <xf numFmtId="49" fontId="1" fillId="32" borderId="19" xfId="60" applyNumberFormat="1" applyFont="1" applyFill="1" applyBorder="1" applyAlignment="1">
      <alignment horizontal="center" vertical="center"/>
    </xf>
    <xf numFmtId="0" fontId="1" fillId="35" borderId="18" xfId="0" applyFont="1" applyFill="1" applyBorder="1" applyAlignment="1">
      <alignment horizontal="center" vertical="center" wrapText="1"/>
    </xf>
    <xf numFmtId="0" fontId="1" fillId="35" borderId="13" xfId="0" applyFont="1" applyFill="1" applyBorder="1" applyAlignment="1">
      <alignment horizontal="center" vertical="center" wrapText="1"/>
    </xf>
    <xf numFmtId="0" fontId="1" fillId="37" borderId="19" xfId="0" applyFont="1" applyFill="1" applyBorder="1" applyAlignment="1">
      <alignment horizontal="center" vertical="center" wrapText="1"/>
    </xf>
    <xf numFmtId="0" fontId="1" fillId="37" borderId="13" xfId="0" applyFont="1" applyFill="1" applyBorder="1" applyAlignment="1">
      <alignment horizontal="center" vertical="center" wrapText="1"/>
    </xf>
    <xf numFmtId="0" fontId="1" fillId="35" borderId="18" xfId="0" applyFont="1" applyFill="1" applyBorder="1" applyAlignment="1">
      <alignment horizontal="center" vertical="center" wrapText="1"/>
    </xf>
    <xf numFmtId="0" fontId="1" fillId="35" borderId="13" xfId="0" applyFont="1" applyFill="1" applyBorder="1" applyAlignment="1">
      <alignment horizontal="center" vertical="center" wrapText="1"/>
    </xf>
    <xf numFmtId="0" fontId="1" fillId="36" borderId="18" xfId="0" applyFont="1" applyFill="1" applyBorder="1" applyAlignment="1">
      <alignment horizontal="center" vertical="center" wrapText="1"/>
    </xf>
    <xf numFmtId="0" fontId="1" fillId="35" borderId="15" xfId="0" applyFont="1" applyFill="1" applyBorder="1" applyAlignment="1">
      <alignment horizontal="center" vertical="center" wrapText="1"/>
    </xf>
    <xf numFmtId="0" fontId="1" fillId="36" borderId="15" xfId="0" applyFont="1" applyFill="1" applyBorder="1" applyAlignment="1">
      <alignment horizontal="center" vertical="center" wrapText="1"/>
    </xf>
    <xf numFmtId="0" fontId="1" fillId="37" borderId="15" xfId="0" applyFont="1" applyFill="1" applyBorder="1" applyAlignment="1">
      <alignment horizontal="center" vertical="center" wrapText="1"/>
    </xf>
    <xf numFmtId="0" fontId="1" fillId="35" borderId="19" xfId="0" applyFont="1" applyFill="1" applyBorder="1" applyAlignment="1">
      <alignment horizontal="center" vertical="center" wrapText="1"/>
    </xf>
    <xf numFmtId="0" fontId="1" fillId="37" borderId="18" xfId="0" applyFont="1" applyFill="1" applyBorder="1" applyAlignment="1">
      <alignment horizontal="center"/>
    </xf>
    <xf numFmtId="0" fontId="1" fillId="37" borderId="13" xfId="0" applyFont="1" applyFill="1" applyBorder="1" applyAlignment="1">
      <alignment horizontal="center"/>
    </xf>
    <xf numFmtId="0" fontId="1" fillId="37" borderId="19" xfId="0" applyFont="1" applyFill="1" applyBorder="1" applyAlignment="1">
      <alignment horizontal="center"/>
    </xf>
    <xf numFmtId="0" fontId="1" fillId="35" borderId="19" xfId="0" applyFont="1" applyFill="1" applyBorder="1" applyAlignment="1">
      <alignment horizontal="center" vertical="center" wrapText="1"/>
    </xf>
    <xf numFmtId="188" fontId="1" fillId="34" borderId="15" xfId="0" applyNumberFormat="1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 wrapText="1"/>
    </xf>
    <xf numFmtId="0" fontId="1" fillId="36" borderId="15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1" fillId="35" borderId="13" xfId="0" applyFont="1" applyFill="1" applyBorder="1" applyAlignment="1">
      <alignment horizontal="center" vertical="center" wrapText="1"/>
    </xf>
    <xf numFmtId="0" fontId="1" fillId="37" borderId="15" xfId="0" applyFont="1" applyFill="1" applyBorder="1" applyAlignment="1">
      <alignment horizontal="center" vertical="center" wrapText="1"/>
    </xf>
    <xf numFmtId="0" fontId="1" fillId="35" borderId="18" xfId="0" applyFont="1" applyFill="1" applyBorder="1" applyAlignment="1">
      <alignment horizontal="center" vertical="center" wrapText="1"/>
    </xf>
    <xf numFmtId="0" fontId="1" fillId="35" borderId="19" xfId="0" applyFont="1" applyFill="1" applyBorder="1" applyAlignment="1">
      <alignment horizontal="center" vertical="center" wrapText="1"/>
    </xf>
    <xf numFmtId="0" fontId="1" fillId="37" borderId="18" xfId="0" applyFont="1" applyFill="1" applyBorder="1" applyAlignment="1">
      <alignment horizontal="center"/>
    </xf>
    <xf numFmtId="0" fontId="1" fillId="37" borderId="19" xfId="0" applyFont="1" applyFill="1" applyBorder="1" applyAlignment="1">
      <alignment horizontal="center"/>
    </xf>
    <xf numFmtId="0" fontId="1" fillId="37" borderId="13" xfId="0" applyFont="1" applyFill="1" applyBorder="1" applyAlignment="1">
      <alignment horizontal="center"/>
    </xf>
    <xf numFmtId="0" fontId="1" fillId="36" borderId="15" xfId="0" applyFont="1" applyFill="1" applyBorder="1" applyAlignment="1">
      <alignment horizontal="center" vertical="center" wrapText="1"/>
    </xf>
    <xf numFmtId="0" fontId="1" fillId="36" borderId="19" xfId="0" applyFont="1" applyFill="1" applyBorder="1" applyAlignment="1">
      <alignment horizontal="center" vertical="center" wrapText="1"/>
    </xf>
    <xf numFmtId="0" fontId="1" fillId="36" borderId="13" xfId="0" applyFont="1" applyFill="1" applyBorder="1" applyAlignment="1">
      <alignment horizontal="center" vertical="center" wrapText="1"/>
    </xf>
    <xf numFmtId="49" fontId="16" fillId="0" borderId="21" xfId="0" applyNumberFormat="1" applyFont="1" applyFill="1" applyBorder="1" applyAlignment="1">
      <alignment horizontal="center" vertical="center" wrapText="1"/>
    </xf>
    <xf numFmtId="49" fontId="8" fillId="32" borderId="21" xfId="0" applyNumberFormat="1" applyFont="1" applyFill="1" applyBorder="1" applyAlignment="1">
      <alignment vertical="center" wrapText="1"/>
    </xf>
    <xf numFmtId="49" fontId="1" fillId="0" borderId="21" xfId="60" applyNumberFormat="1" applyFont="1" applyFill="1" applyBorder="1" applyAlignment="1">
      <alignment horizontal="center"/>
    </xf>
    <xf numFmtId="49" fontId="1" fillId="32" borderId="21" xfId="60" applyNumberFormat="1" applyFont="1" applyFill="1" applyBorder="1" applyAlignment="1">
      <alignment horizontal="center"/>
    </xf>
    <xf numFmtId="49" fontId="1" fillId="37" borderId="21" xfId="60" applyNumberFormat="1" applyFont="1" applyFill="1" applyBorder="1" applyAlignment="1">
      <alignment horizontal="center"/>
    </xf>
    <xf numFmtId="49" fontId="1" fillId="35" borderId="21" xfId="60" applyNumberFormat="1" applyFont="1" applyFill="1" applyBorder="1" applyAlignment="1">
      <alignment horizontal="center" wrapText="1"/>
    </xf>
    <xf numFmtId="49" fontId="1" fillId="35" borderId="21" xfId="60" applyNumberFormat="1" applyFont="1" applyFill="1" applyBorder="1" applyAlignment="1">
      <alignment horizontal="center"/>
    </xf>
    <xf numFmtId="49" fontId="1" fillId="0" borderId="21" xfId="60" applyNumberFormat="1" applyFont="1" applyFill="1" applyBorder="1" applyAlignment="1">
      <alignment horizontal="center" wrapText="1"/>
    </xf>
    <xf numFmtId="49" fontId="1" fillId="32" borderId="21" xfId="60" applyNumberFormat="1" applyFont="1" applyFill="1" applyBorder="1" applyAlignment="1">
      <alignment horizontal="center" wrapText="1"/>
    </xf>
    <xf numFmtId="49" fontId="1" fillId="32" borderId="21" xfId="60" applyNumberFormat="1" applyFont="1" applyFill="1" applyBorder="1" applyAlignment="1">
      <alignment/>
    </xf>
    <xf numFmtId="49" fontId="1" fillId="32" borderId="21" xfId="60" applyNumberFormat="1" applyFont="1" applyFill="1" applyBorder="1" applyAlignment="1">
      <alignment horizontal="center" vertical="center"/>
    </xf>
    <xf numFmtId="49" fontId="1" fillId="0" borderId="21" xfId="60" applyNumberFormat="1" applyFont="1" applyFill="1" applyBorder="1" applyAlignment="1">
      <alignment horizontal="center"/>
    </xf>
    <xf numFmtId="49" fontId="1" fillId="32" borderId="21" xfId="60" applyNumberFormat="1" applyFont="1" applyFill="1" applyBorder="1" applyAlignment="1">
      <alignment horizontal="center"/>
    </xf>
    <xf numFmtId="49" fontId="6" fillId="0" borderId="21" xfId="60" applyNumberFormat="1" applyFont="1" applyFill="1" applyBorder="1" applyAlignment="1">
      <alignment horizontal="center" vertical="center" wrapText="1"/>
    </xf>
    <xf numFmtId="49" fontId="16" fillId="0" borderId="22" xfId="0" applyNumberFormat="1" applyFont="1" applyFill="1" applyBorder="1" applyAlignment="1">
      <alignment horizontal="center" vertical="center" wrapText="1"/>
    </xf>
    <xf numFmtId="49" fontId="8" fillId="32" borderId="28" xfId="0" applyNumberFormat="1" applyFont="1" applyFill="1" applyBorder="1" applyAlignment="1">
      <alignment vertical="center" wrapText="1"/>
    </xf>
    <xf numFmtId="49" fontId="8" fillId="32" borderId="20" xfId="0" applyNumberFormat="1" applyFont="1" applyFill="1" applyBorder="1" applyAlignment="1">
      <alignment vertical="center" wrapText="1"/>
    </xf>
    <xf numFmtId="49" fontId="1" fillId="0" borderId="28" xfId="60" applyNumberFormat="1" applyFont="1" applyFill="1" applyBorder="1" applyAlignment="1">
      <alignment horizontal="center"/>
    </xf>
    <xf numFmtId="49" fontId="1" fillId="0" borderId="20" xfId="60" applyNumberFormat="1" applyFont="1" applyFill="1" applyBorder="1" applyAlignment="1">
      <alignment horizontal="center"/>
    </xf>
    <xf numFmtId="49" fontId="1" fillId="32" borderId="28" xfId="60" applyNumberFormat="1" applyFont="1" applyFill="1" applyBorder="1" applyAlignment="1">
      <alignment horizontal="center"/>
    </xf>
    <xf numFmtId="49" fontId="1" fillId="37" borderId="20" xfId="60" applyNumberFormat="1" applyFont="1" applyFill="1" applyBorder="1" applyAlignment="1">
      <alignment horizontal="center"/>
    </xf>
    <xf numFmtId="49" fontId="1" fillId="32" borderId="22" xfId="60" applyNumberFormat="1" applyFont="1" applyFill="1" applyBorder="1" applyAlignment="1">
      <alignment horizontal="center"/>
    </xf>
    <xf numFmtId="49" fontId="1" fillId="35" borderId="28" xfId="60" applyNumberFormat="1" applyFont="1" applyFill="1" applyBorder="1" applyAlignment="1">
      <alignment horizontal="center" wrapText="1"/>
    </xf>
    <xf numFmtId="49" fontId="1" fillId="35" borderId="20" xfId="60" applyNumberFormat="1" applyFont="1" applyFill="1" applyBorder="1" applyAlignment="1">
      <alignment horizontal="center"/>
    </xf>
    <xf numFmtId="49" fontId="1" fillId="32" borderId="29" xfId="60" applyNumberFormat="1" applyFont="1" applyFill="1" applyBorder="1" applyAlignment="1">
      <alignment horizontal="center"/>
    </xf>
    <xf numFmtId="49" fontId="1" fillId="0" borderId="28" xfId="60" applyNumberFormat="1" applyFont="1" applyFill="1" applyBorder="1" applyAlignment="1">
      <alignment horizontal="center" wrapText="1"/>
    </xf>
    <xf numFmtId="49" fontId="1" fillId="0" borderId="29" xfId="60" applyNumberFormat="1" applyFont="1" applyFill="1" applyBorder="1" applyAlignment="1">
      <alignment horizontal="center"/>
    </xf>
    <xf numFmtId="49" fontId="1" fillId="32" borderId="28" xfId="60" applyNumberFormat="1" applyFont="1" applyFill="1" applyBorder="1" applyAlignment="1">
      <alignment horizontal="center" wrapText="1"/>
    </xf>
    <xf numFmtId="49" fontId="1" fillId="0" borderId="22" xfId="60" applyNumberFormat="1" applyFont="1" applyFill="1" applyBorder="1" applyAlignment="1">
      <alignment horizontal="center"/>
    </xf>
    <xf numFmtId="49" fontId="1" fillId="32" borderId="28" xfId="60" applyNumberFormat="1" applyFont="1" applyFill="1" applyBorder="1" applyAlignment="1">
      <alignment/>
    </xf>
    <xf numFmtId="49" fontId="1" fillId="32" borderId="29" xfId="60" applyNumberFormat="1" applyFont="1" applyFill="1" applyBorder="1" applyAlignment="1">
      <alignment/>
    </xf>
    <xf numFmtId="49" fontId="1" fillId="32" borderId="20" xfId="60" applyNumberFormat="1" applyFont="1" applyFill="1" applyBorder="1" applyAlignment="1">
      <alignment/>
    </xf>
    <xf numFmtId="49" fontId="1" fillId="32" borderId="28" xfId="60" applyNumberFormat="1" applyFont="1" applyFill="1" applyBorder="1" applyAlignment="1">
      <alignment horizontal="center" vertical="center"/>
    </xf>
    <xf numFmtId="49" fontId="1" fillId="32" borderId="29" xfId="60" applyNumberFormat="1" applyFont="1" applyFill="1" applyBorder="1" applyAlignment="1">
      <alignment horizontal="center" vertical="center"/>
    </xf>
    <xf numFmtId="49" fontId="1" fillId="32" borderId="20" xfId="60" applyNumberFormat="1" applyFont="1" applyFill="1" applyBorder="1" applyAlignment="1">
      <alignment horizontal="center" vertical="center"/>
    </xf>
    <xf numFmtId="49" fontId="1" fillId="0" borderId="28" xfId="60" applyNumberFormat="1" applyFont="1" applyFill="1" applyBorder="1" applyAlignment="1">
      <alignment horizontal="center"/>
    </xf>
    <xf numFmtId="49" fontId="1" fillId="32" borderId="28" xfId="60" applyNumberFormat="1" applyFont="1" applyFill="1" applyBorder="1" applyAlignment="1">
      <alignment horizontal="center"/>
    </xf>
    <xf numFmtId="49" fontId="6" fillId="0" borderId="22" xfId="60" applyNumberFormat="1" applyFont="1" applyFill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49" fontId="1" fillId="32" borderId="18" xfId="60" applyNumberFormat="1" applyFont="1" applyFill="1" applyBorder="1" applyAlignment="1">
      <alignment horizontal="center" vertical="center"/>
    </xf>
    <xf numFmtId="0" fontId="1" fillId="35" borderId="15" xfId="0" applyFont="1" applyFill="1" applyBorder="1" applyAlignment="1">
      <alignment horizontal="center" vertical="center" wrapText="1"/>
    </xf>
    <xf numFmtId="0" fontId="1" fillId="36" borderId="15" xfId="0" applyFont="1" applyFill="1" applyBorder="1" applyAlignment="1">
      <alignment horizontal="center" vertical="center" wrapText="1"/>
    </xf>
    <xf numFmtId="0" fontId="1" fillId="36" borderId="15" xfId="0" applyFont="1" applyFill="1" applyBorder="1" applyAlignment="1">
      <alignment horizontal="center" vertical="center" wrapText="1"/>
    </xf>
    <xf numFmtId="0" fontId="1" fillId="37" borderId="18" xfId="0" applyFont="1" applyFill="1" applyBorder="1" applyAlignment="1">
      <alignment horizontal="center"/>
    </xf>
    <xf numFmtId="0" fontId="1" fillId="37" borderId="13" xfId="0" applyFont="1" applyFill="1" applyBorder="1" applyAlignment="1">
      <alignment horizontal="center"/>
    </xf>
    <xf numFmtId="0" fontId="1" fillId="37" borderId="19" xfId="0" applyFont="1" applyFill="1" applyBorder="1" applyAlignment="1">
      <alignment horizontal="center"/>
    </xf>
    <xf numFmtId="0" fontId="1" fillId="35" borderId="13" xfId="0" applyFont="1" applyFill="1" applyBorder="1" applyAlignment="1">
      <alignment horizontal="center" vertical="center" wrapText="1"/>
    </xf>
    <xf numFmtId="49" fontId="1" fillId="0" borderId="19" xfId="60" applyNumberFormat="1" applyFont="1" applyFill="1" applyBorder="1" applyAlignment="1">
      <alignment horizontal="center" vertical="center"/>
    </xf>
    <xf numFmtId="49" fontId="1" fillId="0" borderId="13" xfId="60" applyNumberFormat="1" applyFont="1" applyFill="1" applyBorder="1" applyAlignment="1">
      <alignment horizontal="center" vertical="center"/>
    </xf>
    <xf numFmtId="49" fontId="8" fillId="32" borderId="18" xfId="0" applyNumberFormat="1" applyFont="1" applyFill="1" applyBorder="1" applyAlignment="1">
      <alignment horizontal="center" vertical="center" wrapText="1"/>
    </xf>
    <xf numFmtId="49" fontId="8" fillId="32" borderId="13" xfId="0" applyNumberFormat="1" applyFont="1" applyFill="1" applyBorder="1" applyAlignment="1">
      <alignment horizontal="center" vertical="center" wrapText="1"/>
    </xf>
    <xf numFmtId="0" fontId="1" fillId="37" borderId="19" xfId="0" applyFont="1" applyFill="1" applyBorder="1" applyAlignment="1">
      <alignment horizontal="center" vertical="center" wrapText="1"/>
    </xf>
    <xf numFmtId="49" fontId="1" fillId="35" borderId="18" xfId="60" applyNumberFormat="1" applyFont="1" applyFill="1" applyBorder="1" applyAlignment="1">
      <alignment horizontal="center" vertical="center"/>
    </xf>
    <xf numFmtId="49" fontId="1" fillId="35" borderId="13" xfId="60" applyNumberFormat="1" applyFont="1" applyFill="1" applyBorder="1" applyAlignment="1">
      <alignment horizontal="center" vertical="center"/>
    </xf>
    <xf numFmtId="0" fontId="1" fillId="36" borderId="18" xfId="0" applyFont="1" applyFill="1" applyBorder="1" applyAlignment="1">
      <alignment horizontal="center" vertical="center" wrapText="1"/>
    </xf>
    <xf numFmtId="0" fontId="1" fillId="36" borderId="13" xfId="0" applyFont="1" applyFill="1" applyBorder="1" applyAlignment="1">
      <alignment horizontal="center" vertical="center" wrapText="1"/>
    </xf>
    <xf numFmtId="0" fontId="1" fillId="35" borderId="18" xfId="0" applyFont="1" applyFill="1" applyBorder="1" applyAlignment="1">
      <alignment horizontal="center" vertical="center" wrapText="1"/>
    </xf>
    <xf numFmtId="0" fontId="1" fillId="35" borderId="13" xfId="0" applyFont="1" applyFill="1" applyBorder="1" applyAlignment="1">
      <alignment horizontal="center" vertical="center" wrapText="1"/>
    </xf>
    <xf numFmtId="0" fontId="1" fillId="36" borderId="19" xfId="0" applyFont="1" applyFill="1" applyBorder="1" applyAlignment="1">
      <alignment horizontal="center" vertical="center" wrapText="1"/>
    </xf>
    <xf numFmtId="0" fontId="1" fillId="35" borderId="15" xfId="0" applyFont="1" applyFill="1" applyBorder="1" applyAlignment="1">
      <alignment horizontal="center" vertical="center" wrapText="1"/>
    </xf>
    <xf numFmtId="0" fontId="1" fillId="32" borderId="13" xfId="0" applyFont="1" applyFill="1" applyBorder="1" applyAlignment="1">
      <alignment vertical="center" wrapText="1"/>
    </xf>
    <xf numFmtId="0" fontId="1" fillId="32" borderId="19" xfId="0" applyFont="1" applyFill="1" applyBorder="1" applyAlignment="1">
      <alignment vertical="center" wrapText="1"/>
    </xf>
    <xf numFmtId="0" fontId="1" fillId="36" borderId="15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vertical="center" wrapText="1"/>
    </xf>
    <xf numFmtId="0" fontId="1" fillId="37" borderId="15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32" borderId="19" xfId="0" applyFont="1" applyFill="1" applyBorder="1" applyAlignment="1">
      <alignment horizontal="center" vertical="center"/>
    </xf>
    <xf numFmtId="0" fontId="1" fillId="32" borderId="13" xfId="0" applyFont="1" applyFill="1" applyBorder="1" applyAlignment="1">
      <alignment horizontal="center" vertical="center"/>
    </xf>
    <xf numFmtId="0" fontId="1" fillId="35" borderId="19" xfId="0" applyFont="1" applyFill="1" applyBorder="1" applyAlignment="1">
      <alignment horizontal="center" vertical="center" wrapText="1"/>
    </xf>
    <xf numFmtId="0" fontId="1" fillId="36" borderId="15" xfId="0" applyFont="1" applyFill="1" applyBorder="1" applyAlignment="1">
      <alignment horizontal="center" vertical="center" wrapText="1"/>
    </xf>
    <xf numFmtId="0" fontId="1" fillId="37" borderId="18" xfId="0" applyFont="1" applyFill="1" applyBorder="1" applyAlignment="1">
      <alignment horizontal="center"/>
    </xf>
    <xf numFmtId="0" fontId="1" fillId="37" borderId="13" xfId="0" applyFont="1" applyFill="1" applyBorder="1" applyAlignment="1">
      <alignment horizontal="center"/>
    </xf>
    <xf numFmtId="0" fontId="1" fillId="37" borderId="19" xfId="0" applyFont="1" applyFill="1" applyBorder="1" applyAlignment="1">
      <alignment horizontal="center"/>
    </xf>
    <xf numFmtId="0" fontId="1" fillId="0" borderId="15" xfId="0" applyNumberFormat="1" applyFont="1" applyFill="1" applyBorder="1" applyAlignment="1">
      <alignment horizontal="center" vertical="center" wrapText="1"/>
    </xf>
    <xf numFmtId="0" fontId="1" fillId="35" borderId="18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19" xfId="0" applyNumberFormat="1" applyFont="1" applyFill="1" applyBorder="1" applyAlignment="1">
      <alignment horizontal="center" vertical="center" wrapText="1"/>
    </xf>
    <xf numFmtId="49" fontId="1" fillId="37" borderId="15" xfId="60" applyNumberFormat="1" applyFont="1" applyFill="1" applyBorder="1" applyAlignment="1">
      <alignment horizontal="center" vertical="center"/>
    </xf>
    <xf numFmtId="49" fontId="1" fillId="0" borderId="15" xfId="60" applyNumberFormat="1" applyFont="1" applyFill="1" applyBorder="1" applyAlignment="1">
      <alignment horizontal="center" vertical="center"/>
    </xf>
    <xf numFmtId="49" fontId="1" fillId="35" borderId="15" xfId="60" applyNumberFormat="1" applyFont="1" applyFill="1" applyBorder="1" applyAlignment="1">
      <alignment horizontal="center" vertical="center"/>
    </xf>
    <xf numFmtId="49" fontId="1" fillId="0" borderId="26" xfId="60" applyNumberFormat="1" applyFont="1" applyFill="1" applyBorder="1" applyAlignment="1">
      <alignment horizontal="center" wrapText="1"/>
    </xf>
    <xf numFmtId="49" fontId="1" fillId="0" borderId="30" xfId="60" applyNumberFormat="1" applyFont="1" applyFill="1" applyBorder="1" applyAlignment="1">
      <alignment horizontal="center"/>
    </xf>
    <xf numFmtId="49" fontId="1" fillId="0" borderId="25" xfId="60" applyNumberFormat="1" applyFont="1" applyFill="1" applyBorder="1" applyAlignment="1">
      <alignment horizontal="center"/>
    </xf>
    <xf numFmtId="49" fontId="1" fillId="0" borderId="21" xfId="60" applyNumberFormat="1" applyFont="1" applyFill="1" applyBorder="1" applyAlignment="1">
      <alignment horizontal="center" vertical="center"/>
    </xf>
    <xf numFmtId="43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1" fillId="35" borderId="18" xfId="0" applyFont="1" applyFill="1" applyBorder="1" applyAlignment="1">
      <alignment horizontal="center" vertical="center" wrapText="1"/>
    </xf>
    <xf numFmtId="0" fontId="1" fillId="35" borderId="13" xfId="0" applyFont="1" applyFill="1" applyBorder="1" applyAlignment="1">
      <alignment horizontal="center" vertical="center" wrapText="1"/>
    </xf>
    <xf numFmtId="49" fontId="1" fillId="0" borderId="19" xfId="60" applyNumberFormat="1" applyFont="1" applyFill="1" applyBorder="1" applyAlignment="1">
      <alignment horizontal="center"/>
    </xf>
    <xf numFmtId="49" fontId="1" fillId="32" borderId="18" xfId="60" applyNumberFormat="1" applyFont="1" applyFill="1" applyBorder="1" applyAlignment="1">
      <alignment horizontal="center"/>
    </xf>
    <xf numFmtId="49" fontId="1" fillId="32" borderId="19" xfId="60" applyNumberFormat="1" applyFont="1" applyFill="1" applyBorder="1" applyAlignment="1">
      <alignment horizontal="center"/>
    </xf>
    <xf numFmtId="49" fontId="1" fillId="32" borderId="18" xfId="60" applyNumberFormat="1" applyFont="1" applyFill="1" applyBorder="1" applyAlignment="1">
      <alignment horizontal="center"/>
    </xf>
    <xf numFmtId="49" fontId="1" fillId="32" borderId="19" xfId="60" applyNumberFormat="1" applyFont="1" applyFill="1" applyBorder="1" applyAlignment="1">
      <alignment horizontal="center"/>
    </xf>
    <xf numFmtId="49" fontId="1" fillId="0" borderId="18" xfId="60" applyNumberFormat="1" applyFont="1" applyFill="1" applyBorder="1" applyAlignment="1">
      <alignment horizontal="center"/>
    </xf>
    <xf numFmtId="49" fontId="1" fillId="35" borderId="18" xfId="60" applyNumberFormat="1" applyFont="1" applyFill="1" applyBorder="1" applyAlignment="1">
      <alignment horizontal="center"/>
    </xf>
    <xf numFmtId="49" fontId="1" fillId="35" borderId="13" xfId="60" applyNumberFormat="1" applyFont="1" applyFill="1" applyBorder="1" applyAlignment="1">
      <alignment horizontal="center"/>
    </xf>
    <xf numFmtId="0" fontId="1" fillId="35" borderId="19" xfId="0" applyFont="1" applyFill="1" applyBorder="1" applyAlignment="1">
      <alignment horizontal="center" vertical="center" wrapText="1"/>
    </xf>
    <xf numFmtId="49" fontId="1" fillId="37" borderId="13" xfId="60" applyNumberFormat="1" applyFont="1" applyFill="1" applyBorder="1" applyAlignment="1">
      <alignment horizontal="center"/>
    </xf>
    <xf numFmtId="49" fontId="1" fillId="0" borderId="19" xfId="60" applyNumberFormat="1" applyFont="1" applyFill="1" applyBorder="1" applyAlignment="1">
      <alignment/>
    </xf>
    <xf numFmtId="0" fontId="1" fillId="0" borderId="19" xfId="0" applyFont="1" applyBorder="1" applyAlignment="1">
      <alignment horizontal="center" vertical="center" wrapText="1"/>
    </xf>
    <xf numFmtId="187" fontId="1" fillId="0" borderId="0" xfId="60" applyFont="1" applyFill="1" applyAlignment="1">
      <alignment/>
    </xf>
    <xf numFmtId="187" fontId="1" fillId="0" borderId="0" xfId="60" applyFont="1" applyFill="1" applyAlignment="1">
      <alignment horizontal="right" vertical="center"/>
    </xf>
    <xf numFmtId="0" fontId="1" fillId="32" borderId="18" xfId="0" applyFont="1" applyFill="1" applyBorder="1" applyAlignment="1">
      <alignment horizontal="center" vertical="center" wrapText="1"/>
    </xf>
    <xf numFmtId="0" fontId="1" fillId="37" borderId="13" xfId="0" applyFont="1" applyFill="1" applyBorder="1" applyAlignment="1">
      <alignment horizontal="center" vertical="center" wrapText="1"/>
    </xf>
    <xf numFmtId="0" fontId="1" fillId="32" borderId="18" xfId="0" applyFont="1" applyFill="1" applyBorder="1" applyAlignment="1">
      <alignment vertical="center" wrapText="1"/>
    </xf>
    <xf numFmtId="0" fontId="1" fillId="32" borderId="13" xfId="0" applyFont="1" applyFill="1" applyBorder="1" applyAlignment="1">
      <alignment vertical="center" wrapText="1"/>
    </xf>
    <xf numFmtId="0" fontId="1" fillId="37" borderId="19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188" fontId="1" fillId="0" borderId="18" xfId="0" applyNumberFormat="1" applyFont="1" applyFill="1" applyBorder="1" applyAlignment="1">
      <alignment horizontal="center" vertical="center" wrapText="1"/>
    </xf>
    <xf numFmtId="188" fontId="1" fillId="0" borderId="19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35" borderId="18" xfId="0" applyFont="1" applyFill="1" applyBorder="1" applyAlignment="1">
      <alignment horizontal="center" vertical="center" wrapText="1"/>
    </xf>
    <xf numFmtId="0" fontId="1" fillId="35" borderId="13" xfId="0" applyFont="1" applyFill="1" applyBorder="1" applyAlignment="1">
      <alignment horizontal="center" vertical="center" wrapText="1"/>
    </xf>
    <xf numFmtId="0" fontId="1" fillId="36" borderId="19" xfId="0" applyFont="1" applyFill="1" applyBorder="1" applyAlignment="1">
      <alignment horizontal="center" vertical="center" wrapText="1"/>
    </xf>
    <xf numFmtId="49" fontId="1" fillId="0" borderId="18" xfId="60" applyNumberFormat="1" applyFont="1" applyFill="1" applyBorder="1" applyAlignment="1">
      <alignment horizontal="center" vertical="center"/>
    </xf>
    <xf numFmtId="49" fontId="1" fillId="0" borderId="19" xfId="60" applyNumberFormat="1" applyFont="1" applyFill="1" applyBorder="1" applyAlignment="1">
      <alignment horizontal="center" vertical="center"/>
    </xf>
    <xf numFmtId="49" fontId="1" fillId="0" borderId="13" xfId="60" applyNumberFormat="1" applyFont="1" applyFill="1" applyBorder="1" applyAlignment="1">
      <alignment horizontal="center" vertical="center"/>
    </xf>
    <xf numFmtId="49" fontId="1" fillId="32" borderId="18" xfId="60" applyNumberFormat="1" applyFont="1" applyFill="1" applyBorder="1" applyAlignment="1">
      <alignment horizontal="center" vertical="center"/>
    </xf>
    <xf numFmtId="49" fontId="1" fillId="32" borderId="19" xfId="60" applyNumberFormat="1" applyFont="1" applyFill="1" applyBorder="1" applyAlignment="1">
      <alignment horizontal="center" vertical="center"/>
    </xf>
    <xf numFmtId="49" fontId="1" fillId="32" borderId="13" xfId="60" applyNumberFormat="1" applyFont="1" applyFill="1" applyBorder="1" applyAlignment="1">
      <alignment horizontal="center" vertical="center"/>
    </xf>
    <xf numFmtId="188" fontId="1" fillId="0" borderId="13" xfId="0" applyNumberFormat="1" applyFont="1" applyFill="1" applyBorder="1" applyAlignment="1">
      <alignment horizontal="center" vertical="center" wrapText="1"/>
    </xf>
    <xf numFmtId="0" fontId="1" fillId="37" borderId="15" xfId="0" applyFont="1" applyFill="1" applyBorder="1" applyAlignment="1">
      <alignment horizontal="center" vertical="center" wrapText="1"/>
    </xf>
    <xf numFmtId="0" fontId="1" fillId="36" borderId="15" xfId="0" applyFont="1" applyFill="1" applyBorder="1" applyAlignment="1">
      <alignment horizontal="center" vertical="center" wrapText="1"/>
    </xf>
    <xf numFmtId="0" fontId="1" fillId="36" borderId="18" xfId="0" applyFont="1" applyFill="1" applyBorder="1" applyAlignment="1">
      <alignment horizontal="center" vertical="center" wrapText="1"/>
    </xf>
    <xf numFmtId="0" fontId="1" fillId="36" borderId="19" xfId="0" applyFont="1" applyFill="1" applyBorder="1" applyAlignment="1">
      <alignment horizontal="center" vertical="center" wrapText="1"/>
    </xf>
    <xf numFmtId="49" fontId="1" fillId="32" borderId="18" xfId="60" applyNumberFormat="1" applyFont="1" applyFill="1" applyBorder="1" applyAlignment="1">
      <alignment horizontal="center"/>
    </xf>
    <xf numFmtId="49" fontId="1" fillId="32" borderId="19" xfId="60" applyNumberFormat="1" applyFont="1" applyFill="1" applyBorder="1" applyAlignment="1">
      <alignment horizontal="center"/>
    </xf>
    <xf numFmtId="49" fontId="1" fillId="37" borderId="13" xfId="60" applyNumberFormat="1" applyFont="1" applyFill="1" applyBorder="1" applyAlignment="1">
      <alignment horizontal="center"/>
    </xf>
    <xf numFmtId="49" fontId="1" fillId="0" borderId="18" xfId="60" applyNumberFormat="1" applyFont="1" applyFill="1" applyBorder="1" applyAlignment="1">
      <alignment horizontal="center"/>
    </xf>
    <xf numFmtId="49" fontId="1" fillId="0" borderId="19" xfId="60" applyNumberFormat="1" applyFont="1" applyFill="1" applyBorder="1" applyAlignment="1">
      <alignment horizontal="center"/>
    </xf>
    <xf numFmtId="49" fontId="1" fillId="0" borderId="13" xfId="60" applyNumberFormat="1" applyFont="1" applyFill="1" applyBorder="1" applyAlignment="1">
      <alignment horizontal="center"/>
    </xf>
    <xf numFmtId="0" fontId="1" fillId="32" borderId="18" xfId="60" applyNumberFormat="1" applyFont="1" applyFill="1" applyBorder="1" applyAlignment="1">
      <alignment horizontal="center"/>
    </xf>
    <xf numFmtId="0" fontId="1" fillId="32" borderId="13" xfId="6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49" fontId="1" fillId="32" borderId="19" xfId="60" applyNumberFormat="1" applyFont="1" applyFill="1" applyBorder="1" applyAlignment="1">
      <alignment horizontal="center" vertical="center"/>
    </xf>
    <xf numFmtId="49" fontId="1" fillId="32" borderId="13" xfId="60" applyNumberFormat="1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36" borderId="13" xfId="0" applyFont="1" applyFill="1" applyBorder="1" applyAlignment="1">
      <alignment horizontal="center" vertical="center" wrapText="1"/>
    </xf>
    <xf numFmtId="49" fontId="1" fillId="0" borderId="19" xfId="60" applyNumberFormat="1" applyFont="1" applyFill="1" applyBorder="1" applyAlignment="1">
      <alignment horizontal="center" vertical="center"/>
    </xf>
    <xf numFmtId="49" fontId="1" fillId="0" borderId="13" xfId="60" applyNumberFormat="1" applyFont="1" applyFill="1" applyBorder="1" applyAlignment="1">
      <alignment horizontal="center" vertical="center"/>
    </xf>
    <xf numFmtId="0" fontId="1" fillId="35" borderId="18" xfId="0" applyFont="1" applyFill="1" applyBorder="1" applyAlignment="1">
      <alignment horizontal="center" vertical="center" wrapText="1"/>
    </xf>
    <xf numFmtId="0" fontId="1" fillId="35" borderId="19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49" fontId="1" fillId="35" borderId="18" xfId="60" applyNumberFormat="1" applyFont="1" applyFill="1" applyBorder="1" applyAlignment="1">
      <alignment horizontal="center"/>
    </xf>
    <xf numFmtId="49" fontId="1" fillId="35" borderId="13" xfId="60" applyNumberFormat="1" applyFont="1" applyFill="1" applyBorder="1" applyAlignment="1">
      <alignment horizontal="center"/>
    </xf>
    <xf numFmtId="49" fontId="1" fillId="35" borderId="18" xfId="60" applyNumberFormat="1" applyFont="1" applyFill="1" applyBorder="1" applyAlignment="1">
      <alignment horizontal="center" vertical="center"/>
    </xf>
    <xf numFmtId="49" fontId="1" fillId="35" borderId="13" xfId="60" applyNumberFormat="1" applyFont="1" applyFill="1" applyBorder="1" applyAlignment="1">
      <alignment horizontal="center" vertical="center"/>
    </xf>
    <xf numFmtId="49" fontId="8" fillId="32" borderId="18" xfId="0" applyNumberFormat="1" applyFont="1" applyFill="1" applyBorder="1" applyAlignment="1">
      <alignment horizontal="center" vertical="center" wrapText="1"/>
    </xf>
    <xf numFmtId="49" fontId="8" fillId="32" borderId="13" xfId="0" applyNumberFormat="1" applyFont="1" applyFill="1" applyBorder="1" applyAlignment="1">
      <alignment horizontal="center" vertical="center" wrapText="1"/>
    </xf>
    <xf numFmtId="49" fontId="5" fillId="0" borderId="21" xfId="0" applyNumberFormat="1" applyFont="1" applyFill="1" applyBorder="1" applyAlignment="1">
      <alignment horizontal="center" vertical="center" wrapText="1"/>
    </xf>
    <xf numFmtId="49" fontId="5" fillId="0" borderId="22" xfId="0" applyNumberFormat="1" applyFont="1" applyFill="1" applyBorder="1" applyAlignment="1">
      <alignment horizontal="center" vertical="center" wrapText="1"/>
    </xf>
    <xf numFmtId="49" fontId="1" fillId="32" borderId="18" xfId="60" applyNumberFormat="1" applyFont="1" applyFill="1" applyBorder="1" applyAlignment="1">
      <alignment horizontal="center" vertical="center" wrapText="1"/>
    </xf>
    <xf numFmtId="49" fontId="1" fillId="32" borderId="13" xfId="60" applyNumberFormat="1" applyFont="1" applyFill="1" applyBorder="1" applyAlignment="1">
      <alignment horizontal="center" vertical="center" wrapText="1"/>
    </xf>
    <xf numFmtId="49" fontId="5" fillId="0" borderId="27" xfId="0" applyNumberFormat="1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9" fontId="1" fillId="0" borderId="18" xfId="0" applyNumberFormat="1" applyFont="1" applyFill="1" applyBorder="1" applyAlignment="1">
      <alignment horizontal="center" vertical="center" wrapText="1"/>
    </xf>
    <xf numFmtId="9" fontId="1" fillId="0" borderId="19" xfId="0" applyNumberFormat="1" applyFont="1" applyFill="1" applyBorder="1" applyAlignment="1">
      <alignment horizontal="center" vertical="center" wrapText="1"/>
    </xf>
    <xf numFmtId="188" fontId="1" fillId="32" borderId="18" xfId="0" applyNumberFormat="1" applyFont="1" applyFill="1" applyBorder="1" applyAlignment="1">
      <alignment horizontal="center" vertical="center" wrapText="1"/>
    </xf>
    <xf numFmtId="188" fontId="1" fillId="32" borderId="13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1" fillId="36" borderId="15" xfId="0" applyFont="1" applyFill="1" applyBorder="1" applyAlignment="1">
      <alignment vertical="center" wrapText="1"/>
    </xf>
    <xf numFmtId="188" fontId="1" fillId="32" borderId="19" xfId="0" applyNumberFormat="1" applyFont="1" applyFill="1" applyBorder="1" applyAlignment="1">
      <alignment horizontal="center" vertical="center" wrapText="1"/>
    </xf>
    <xf numFmtId="0" fontId="1" fillId="32" borderId="19" xfId="0" applyFont="1" applyFill="1" applyBorder="1" applyAlignment="1">
      <alignment vertical="center" wrapText="1"/>
    </xf>
    <xf numFmtId="0" fontId="1" fillId="0" borderId="15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vertical="center" wrapText="1"/>
    </xf>
    <xf numFmtId="0" fontId="1" fillId="32" borderId="18" xfId="0" applyFont="1" applyFill="1" applyBorder="1" applyAlignment="1">
      <alignment horizontal="left" vertical="center" wrapText="1"/>
    </xf>
    <xf numFmtId="0" fontId="1" fillId="32" borderId="19" xfId="0" applyFont="1" applyFill="1" applyBorder="1" applyAlignment="1">
      <alignment horizontal="left" vertical="center" wrapText="1"/>
    </xf>
    <xf numFmtId="0" fontId="1" fillId="32" borderId="13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0" fillId="32" borderId="13" xfId="0" applyFill="1" applyBorder="1" applyAlignment="1">
      <alignment vertical="center" wrapText="1"/>
    </xf>
    <xf numFmtId="0" fontId="0" fillId="32" borderId="19" xfId="0" applyFill="1" applyBorder="1" applyAlignment="1">
      <alignment vertical="center" wrapText="1"/>
    </xf>
    <xf numFmtId="0" fontId="0" fillId="32" borderId="13" xfId="0" applyFill="1" applyBorder="1" applyAlignment="1">
      <alignment/>
    </xf>
    <xf numFmtId="0" fontId="0" fillId="36" borderId="19" xfId="0" applyFill="1" applyBorder="1" applyAlignment="1">
      <alignment horizontal="center" vertical="center" wrapText="1"/>
    </xf>
    <xf numFmtId="0" fontId="0" fillId="0" borderId="19" xfId="0" applyBorder="1" applyAlignment="1">
      <alignment vertical="center" wrapText="1"/>
    </xf>
    <xf numFmtId="0" fontId="0" fillId="0" borderId="19" xfId="0" applyBorder="1" applyAlignment="1">
      <alignment/>
    </xf>
    <xf numFmtId="0" fontId="0" fillId="0" borderId="19" xfId="0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" fillId="35" borderId="15" xfId="0" applyFont="1" applyFill="1" applyBorder="1" applyAlignment="1">
      <alignment horizontal="center" vertical="center" wrapText="1"/>
    </xf>
    <xf numFmtId="0" fontId="1" fillId="35" borderId="15" xfId="0" applyFont="1" applyFill="1" applyBorder="1" applyAlignment="1">
      <alignment horizontal="center" vertical="center" wrapText="1"/>
    </xf>
    <xf numFmtId="0" fontId="1" fillId="35" borderId="13" xfId="0" applyFont="1" applyFill="1" applyBorder="1" applyAlignment="1">
      <alignment horizontal="center" vertical="center" wrapText="1"/>
    </xf>
    <xf numFmtId="0" fontId="1" fillId="36" borderId="13" xfId="0" applyFont="1" applyFill="1" applyBorder="1" applyAlignment="1">
      <alignment horizontal="center" vertical="center" wrapText="1"/>
    </xf>
    <xf numFmtId="9" fontId="1" fillId="0" borderId="18" xfId="0" applyNumberFormat="1" applyFont="1" applyFill="1" applyBorder="1" applyAlignment="1">
      <alignment horizontal="center" vertical="center" wrapText="1"/>
    </xf>
    <xf numFmtId="9" fontId="1" fillId="0" borderId="13" xfId="0" applyNumberFormat="1" applyFont="1" applyFill="1" applyBorder="1" applyAlignment="1">
      <alignment horizontal="center" vertical="center" wrapText="1"/>
    </xf>
    <xf numFmtId="49" fontId="1" fillId="32" borderId="18" xfId="60" applyNumberFormat="1" applyFont="1" applyFill="1" applyBorder="1" applyAlignment="1">
      <alignment horizontal="center"/>
    </xf>
    <xf numFmtId="49" fontId="1" fillId="32" borderId="19" xfId="60" applyNumberFormat="1" applyFont="1" applyFill="1" applyBorder="1" applyAlignment="1">
      <alignment horizontal="center"/>
    </xf>
    <xf numFmtId="49" fontId="1" fillId="32" borderId="13" xfId="60" applyNumberFormat="1" applyFont="1" applyFill="1" applyBorder="1" applyAlignment="1">
      <alignment horizontal="center"/>
    </xf>
    <xf numFmtId="49" fontId="1" fillId="0" borderId="18" xfId="60" applyNumberFormat="1" applyFont="1" applyFill="1" applyBorder="1" applyAlignment="1">
      <alignment horizontal="center"/>
    </xf>
    <xf numFmtId="49" fontId="1" fillId="0" borderId="19" xfId="60" applyNumberFormat="1" applyFont="1" applyFill="1" applyBorder="1" applyAlignment="1">
      <alignment horizontal="center"/>
    </xf>
    <xf numFmtId="49" fontId="1" fillId="0" borderId="13" xfId="60" applyNumberFormat="1" applyFont="1" applyFill="1" applyBorder="1" applyAlignment="1">
      <alignment horizontal="center"/>
    </xf>
    <xf numFmtId="0" fontId="1" fillId="36" borderId="18" xfId="0" applyFont="1" applyFill="1" applyBorder="1" applyAlignment="1">
      <alignment horizontal="center" vertical="center" wrapText="1"/>
    </xf>
    <xf numFmtId="49" fontId="1" fillId="0" borderId="18" xfId="60" applyNumberFormat="1" applyFont="1" applyFill="1" applyBorder="1" applyAlignment="1">
      <alignment horizontal="center" vertical="center" wrapText="1"/>
    </xf>
    <xf numFmtId="49" fontId="1" fillId="0" borderId="13" xfId="60" applyNumberFormat="1" applyFont="1" applyFill="1" applyBorder="1" applyAlignment="1">
      <alignment horizontal="center" vertical="center" wrapText="1"/>
    </xf>
    <xf numFmtId="49" fontId="1" fillId="35" borderId="18" xfId="60" applyNumberFormat="1" applyFont="1" applyFill="1" applyBorder="1" applyAlignment="1">
      <alignment horizontal="center" vertical="center" wrapText="1"/>
    </xf>
    <xf numFmtId="49" fontId="1" fillId="35" borderId="13" xfId="60" applyNumberFormat="1" applyFont="1" applyFill="1" applyBorder="1" applyAlignment="1">
      <alignment horizontal="center" vertical="center" wrapText="1"/>
    </xf>
    <xf numFmtId="49" fontId="1" fillId="32" borderId="19" xfId="60" applyNumberFormat="1" applyFont="1" applyFill="1" applyBorder="1" applyAlignment="1">
      <alignment horizontal="center" vertical="center" wrapText="1"/>
    </xf>
    <xf numFmtId="49" fontId="1" fillId="0" borderId="19" xfId="60" applyNumberFormat="1" applyFont="1" applyFill="1" applyBorder="1" applyAlignment="1">
      <alignment horizontal="center" vertical="center" wrapText="1"/>
    </xf>
    <xf numFmtId="0" fontId="1" fillId="32" borderId="18" xfId="60" applyNumberFormat="1" applyFont="1" applyFill="1" applyBorder="1" applyAlignment="1">
      <alignment horizontal="center" vertical="center"/>
    </xf>
    <xf numFmtId="0" fontId="1" fillId="32" borderId="13" xfId="60" applyNumberFormat="1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32" borderId="18" xfId="0" applyFont="1" applyFill="1" applyBorder="1" applyAlignment="1">
      <alignment horizontal="center" vertical="center"/>
    </xf>
    <xf numFmtId="0" fontId="1" fillId="32" borderId="13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32" borderId="19" xfId="0" applyFont="1" applyFill="1" applyBorder="1" applyAlignment="1">
      <alignment horizontal="center" vertical="center"/>
    </xf>
    <xf numFmtId="0" fontId="1" fillId="32" borderId="15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32" borderId="19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1" fillId="37" borderId="18" xfId="0" applyFont="1" applyFill="1" applyBorder="1" applyAlignment="1">
      <alignment horizontal="center" vertical="center" wrapText="1"/>
    </xf>
    <xf numFmtId="0" fontId="1" fillId="37" borderId="13" xfId="0" applyFont="1" applyFill="1" applyBorder="1" applyAlignment="1">
      <alignment horizontal="center" vertical="center" wrapText="1"/>
    </xf>
    <xf numFmtId="0" fontId="1" fillId="32" borderId="15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wrapText="1"/>
    </xf>
    <xf numFmtId="0" fontId="5" fillId="0" borderId="21" xfId="0" applyFont="1" applyFill="1" applyBorder="1" applyAlignment="1">
      <alignment horizontal="center" vertical="center" wrapText="1"/>
    </xf>
    <xf numFmtId="0" fontId="1" fillId="32" borderId="18" xfId="0" applyFont="1" applyFill="1" applyBorder="1" applyAlignment="1">
      <alignment horizontal="left" vertical="center" wrapText="1"/>
    </xf>
    <xf numFmtId="0" fontId="0" fillId="32" borderId="19" xfId="0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0" fillId="32" borderId="19" xfId="0" applyFill="1" applyBorder="1" applyAlignment="1">
      <alignment wrapText="1"/>
    </xf>
    <xf numFmtId="0" fontId="0" fillId="32" borderId="15" xfId="0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37" borderId="18" xfId="0" applyFont="1" applyFill="1" applyBorder="1" applyAlignment="1">
      <alignment horizontal="center"/>
    </xf>
    <xf numFmtId="0" fontId="1" fillId="37" borderId="19" xfId="0" applyFont="1" applyFill="1" applyBorder="1" applyAlignment="1">
      <alignment horizontal="center"/>
    </xf>
    <xf numFmtId="0" fontId="1" fillId="37" borderId="13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32" borderId="18" xfId="0" applyFont="1" applyFill="1" applyBorder="1" applyAlignment="1">
      <alignment horizontal="center"/>
    </xf>
    <xf numFmtId="0" fontId="1" fillId="32" borderId="19" xfId="0" applyFont="1" applyFill="1" applyBorder="1" applyAlignment="1">
      <alignment horizontal="center"/>
    </xf>
    <xf numFmtId="0" fontId="1" fillId="32" borderId="13" xfId="0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37" borderId="18" xfId="0" applyFont="1" applyFill="1" applyBorder="1" applyAlignment="1">
      <alignment horizontal="center" vertical="center"/>
    </xf>
    <xf numFmtId="0" fontId="1" fillId="37" borderId="19" xfId="0" applyFont="1" applyFill="1" applyBorder="1" applyAlignment="1">
      <alignment horizontal="center" vertical="center"/>
    </xf>
    <xf numFmtId="0" fontId="1" fillId="37" borderId="13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left" vertical="center" wrapText="1"/>
    </xf>
    <xf numFmtId="0" fontId="1" fillId="32" borderId="19" xfId="0" applyFont="1" applyFill="1" applyBorder="1" applyAlignment="1">
      <alignment horizontal="left" vertical="center" wrapText="1"/>
    </xf>
    <xf numFmtId="0" fontId="1" fillId="0" borderId="19" xfId="0" applyFont="1" applyBorder="1" applyAlignment="1">
      <alignment/>
    </xf>
    <xf numFmtId="0" fontId="1" fillId="32" borderId="15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33" borderId="18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9" xfId="0" applyFont="1" applyBorder="1" applyAlignment="1">
      <alignment/>
    </xf>
    <xf numFmtId="0" fontId="1" fillId="36" borderId="15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35" borderId="19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5" fillId="0" borderId="31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EK97"/>
  <sheetViews>
    <sheetView zoomScale="60" zoomScaleNormal="60" zoomScalePageLayoutView="0" workbookViewId="0" topLeftCell="A1">
      <pane xSplit="3" ySplit="5" topLeftCell="S78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O44" sqref="AO44:AO45"/>
    </sheetView>
  </sheetViews>
  <sheetFormatPr defaultColWidth="9.140625" defaultRowHeight="12.75"/>
  <cols>
    <col min="1" max="1" width="6.28125" style="16" customWidth="1"/>
    <col min="2" max="2" width="19.7109375" style="84" customWidth="1"/>
    <col min="3" max="3" width="9.140625" style="15" customWidth="1"/>
    <col min="4" max="4" width="8.57421875" style="15" customWidth="1"/>
    <col min="5" max="6" width="5.8515625" style="15" customWidth="1"/>
    <col min="7" max="7" width="7.57421875" style="15" customWidth="1"/>
    <col min="8" max="8" width="5.28125" style="15" customWidth="1"/>
    <col min="9" max="9" width="6.00390625" style="15" customWidth="1"/>
    <col min="10" max="10" width="6.421875" style="15" customWidth="1"/>
    <col min="11" max="13" width="5.8515625" style="15" hidden="1" customWidth="1"/>
    <col min="14" max="14" width="5.8515625" style="15" customWidth="1"/>
    <col min="15" max="17" width="8.28125" style="15" customWidth="1"/>
    <col min="18" max="18" width="10.421875" style="15" hidden="1" customWidth="1"/>
    <col min="19" max="20" width="10.421875" style="15" customWidth="1"/>
    <col min="21" max="21" width="9.140625" style="15" hidden="1" customWidth="1"/>
    <col min="22" max="22" width="8.421875" style="15" hidden="1" customWidth="1"/>
    <col min="23" max="23" width="13.421875" style="15" customWidth="1"/>
    <col min="24" max="24" width="11.28125" style="15" customWidth="1"/>
    <col min="25" max="25" width="9.7109375" style="15" customWidth="1"/>
    <col min="26" max="26" width="6.8515625" style="15" customWidth="1"/>
    <col min="27" max="29" width="9.7109375" style="15" customWidth="1"/>
    <col min="30" max="30" width="13.421875" style="15" hidden="1" customWidth="1"/>
    <col min="31" max="31" width="13.00390625" style="15" customWidth="1"/>
    <col min="32" max="32" width="10.28125" style="16" customWidth="1"/>
    <col min="33" max="33" width="9.8515625" style="16" customWidth="1"/>
    <col min="34" max="34" width="10.00390625" style="16" customWidth="1"/>
    <col min="35" max="35" width="9.421875" style="16" customWidth="1"/>
    <col min="36" max="36" width="8.57421875" style="16" customWidth="1"/>
    <col min="37" max="38" width="9.8515625" style="16" hidden="1" customWidth="1"/>
    <col min="39" max="39" width="9.8515625" style="16" customWidth="1"/>
    <col min="40" max="40" width="9.8515625" style="16" hidden="1" customWidth="1"/>
    <col min="41" max="41" width="9.57421875" style="16" bestFit="1" customWidth="1"/>
    <col min="42" max="42" width="12.28125" style="15" hidden="1" customWidth="1"/>
    <col min="43" max="43" width="9.140625" style="15" customWidth="1"/>
    <col min="44" max="44" width="7.7109375" style="15" customWidth="1"/>
    <col min="45" max="45" width="9.57421875" style="16" hidden="1" customWidth="1"/>
    <col min="46" max="46" width="6.7109375" style="16" hidden="1" customWidth="1"/>
    <col min="47" max="47" width="9.00390625" style="15" customWidth="1"/>
    <col min="48" max="50" width="7.421875" style="15" customWidth="1"/>
    <col min="51" max="51" width="13.7109375" style="95" customWidth="1"/>
    <col min="52" max="52" width="12.8515625" style="15" customWidth="1"/>
    <col min="53" max="53" width="8.421875" style="15" customWidth="1"/>
    <col min="54" max="54" width="13.8515625" style="15" customWidth="1"/>
    <col min="55" max="55" width="7.7109375" style="15" bestFit="1" customWidth="1"/>
    <col min="56" max="56" width="8.28125" style="15" customWidth="1"/>
    <col min="57" max="59" width="9.57421875" style="15" customWidth="1"/>
    <col min="60" max="60" width="9.00390625" style="15" customWidth="1"/>
    <col min="61" max="61" width="10.57421875" style="15" customWidth="1"/>
    <col min="62" max="62" width="9.00390625" style="39" customWidth="1"/>
    <col min="63" max="63" width="7.421875" style="39" hidden="1" customWidth="1"/>
    <col min="64" max="64" width="9.00390625" style="39" hidden="1" customWidth="1"/>
    <col min="65" max="65" width="9.00390625" style="39" customWidth="1"/>
    <col min="66" max="66" width="9.57421875" style="39" customWidth="1"/>
    <col min="67" max="67" width="11.421875" style="39" hidden="1" customWidth="1"/>
    <col min="68" max="68" width="11.421875" style="39" customWidth="1"/>
    <col min="69" max="69" width="14.7109375" style="39" customWidth="1"/>
    <col min="70" max="70" width="8.140625" style="39" customWidth="1"/>
    <col min="71" max="71" width="8.57421875" style="39" customWidth="1"/>
    <col min="72" max="73" width="9.140625" style="39" customWidth="1"/>
    <col min="74" max="74" width="10.7109375" style="39" customWidth="1"/>
    <col min="75" max="75" width="11.28125" style="39" customWidth="1"/>
    <col min="76" max="76" width="7.7109375" style="39" customWidth="1"/>
    <col min="77" max="77" width="7.8515625" style="39" customWidth="1"/>
    <col min="78" max="78" width="11.8515625" style="39" hidden="1" customWidth="1"/>
  </cols>
  <sheetData>
    <row r="1" spans="1:61" ht="1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2"/>
      <c r="AQ1" s="2"/>
      <c r="AR1" s="2"/>
      <c r="AS1" s="33"/>
      <c r="AT1" s="33"/>
      <c r="AU1" s="2"/>
      <c r="AV1" s="2"/>
      <c r="AW1" s="2"/>
      <c r="AX1" s="2"/>
      <c r="AY1" s="94"/>
      <c r="AZ1" s="2"/>
      <c r="BA1" s="2"/>
      <c r="BB1" s="2"/>
      <c r="BC1" s="2"/>
      <c r="BD1" s="2"/>
      <c r="BE1" s="2"/>
      <c r="BF1" s="2"/>
      <c r="BG1" s="2"/>
      <c r="BH1" s="2"/>
      <c r="BI1" s="2"/>
    </row>
    <row r="2" spans="1:61" ht="13.5">
      <c r="A2" s="496"/>
      <c r="B2" s="496"/>
      <c r="C2" s="49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2"/>
      <c r="AQ2" s="2"/>
      <c r="AR2" s="2"/>
      <c r="AS2" s="33"/>
      <c r="AT2" s="33"/>
      <c r="AU2" s="2"/>
      <c r="AV2" s="2"/>
      <c r="AW2" s="2"/>
      <c r="AX2" s="2"/>
      <c r="AY2" s="94"/>
      <c r="AZ2" s="2"/>
      <c r="BA2" s="2"/>
      <c r="BB2" s="2"/>
      <c r="BC2" s="2"/>
      <c r="BD2" s="2"/>
      <c r="BE2" s="2"/>
      <c r="BF2" s="2"/>
      <c r="BG2" s="2"/>
      <c r="BH2" s="2"/>
      <c r="BI2" s="2"/>
    </row>
    <row r="3" spans="1:61" ht="12.75">
      <c r="A3" s="497"/>
      <c r="B3" s="497"/>
      <c r="C3" s="49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2"/>
      <c r="AQ3" s="2"/>
      <c r="AR3" s="2"/>
      <c r="AS3" s="33"/>
      <c r="AT3" s="33"/>
      <c r="AU3" s="2"/>
      <c r="AV3" s="2"/>
      <c r="AW3" s="2"/>
      <c r="AX3" s="2"/>
      <c r="AY3" s="94"/>
      <c r="AZ3" s="2"/>
      <c r="BA3" s="2"/>
      <c r="BB3" s="2"/>
      <c r="BC3" s="2"/>
      <c r="BD3" s="2"/>
      <c r="BE3" s="2"/>
      <c r="BF3" s="2"/>
      <c r="BG3" s="2"/>
      <c r="BH3" s="2"/>
      <c r="BI3" s="2"/>
    </row>
    <row r="4" spans="1:78" s="24" customFormat="1" ht="67.5" customHeight="1">
      <c r="A4" s="34" t="s">
        <v>0</v>
      </c>
      <c r="B4" s="17" t="s">
        <v>1</v>
      </c>
      <c r="C4" s="34" t="s">
        <v>2</v>
      </c>
      <c r="D4" s="436" t="s">
        <v>58</v>
      </c>
      <c r="E4" s="437"/>
      <c r="F4" s="438"/>
      <c r="G4" s="436" t="s">
        <v>61</v>
      </c>
      <c r="H4" s="437"/>
      <c r="I4" s="437"/>
      <c r="J4" s="438"/>
      <c r="K4" s="436" t="s">
        <v>125</v>
      </c>
      <c r="L4" s="437"/>
      <c r="M4" s="438"/>
      <c r="N4" s="436" t="s">
        <v>218</v>
      </c>
      <c r="O4" s="438"/>
      <c r="P4" s="436" t="s">
        <v>306</v>
      </c>
      <c r="Q4" s="438"/>
      <c r="R4" s="74" t="s">
        <v>171</v>
      </c>
      <c r="S4" s="74" t="s">
        <v>241</v>
      </c>
      <c r="T4" s="74" t="s">
        <v>309</v>
      </c>
      <c r="U4" s="436" t="s">
        <v>157</v>
      </c>
      <c r="V4" s="438"/>
      <c r="W4" s="34" t="s">
        <v>59</v>
      </c>
      <c r="X4" s="74" t="s">
        <v>372</v>
      </c>
      <c r="Y4" s="74" t="s">
        <v>274</v>
      </c>
      <c r="Z4" s="436" t="s">
        <v>191</v>
      </c>
      <c r="AA4" s="438"/>
      <c r="AB4" s="436" t="s">
        <v>317</v>
      </c>
      <c r="AC4" s="438"/>
      <c r="AD4" s="74" t="s">
        <v>146</v>
      </c>
      <c r="AE4" s="436" t="s">
        <v>170</v>
      </c>
      <c r="AF4" s="438"/>
      <c r="AG4" s="436" t="s">
        <v>142</v>
      </c>
      <c r="AH4" s="438"/>
      <c r="AI4" s="436" t="s">
        <v>301</v>
      </c>
      <c r="AJ4" s="438"/>
      <c r="AK4" s="75" t="s">
        <v>167</v>
      </c>
      <c r="AL4" s="75" t="s">
        <v>178</v>
      </c>
      <c r="AM4" s="75" t="s">
        <v>162</v>
      </c>
      <c r="AN4" s="75" t="s">
        <v>141</v>
      </c>
      <c r="AO4" s="34" t="s">
        <v>60</v>
      </c>
      <c r="AP4" s="34" t="s">
        <v>176</v>
      </c>
      <c r="AQ4" s="491" t="s">
        <v>61</v>
      </c>
      <c r="AR4" s="491"/>
      <c r="AS4" s="34" t="s">
        <v>160</v>
      </c>
      <c r="AT4" s="34" t="s">
        <v>62</v>
      </c>
      <c r="AU4" s="436" t="s">
        <v>63</v>
      </c>
      <c r="AV4" s="437"/>
      <c r="AW4" s="437"/>
      <c r="AX4" s="438"/>
      <c r="AY4" s="34" t="s">
        <v>164</v>
      </c>
      <c r="AZ4" s="491" t="s">
        <v>130</v>
      </c>
      <c r="BA4" s="491"/>
      <c r="BB4" s="491"/>
      <c r="BC4" s="491" t="s">
        <v>64</v>
      </c>
      <c r="BD4" s="491"/>
      <c r="BE4" s="491"/>
      <c r="BF4" s="436" t="s">
        <v>234</v>
      </c>
      <c r="BG4" s="438"/>
      <c r="BH4" s="485" t="s">
        <v>87</v>
      </c>
      <c r="BI4" s="489"/>
      <c r="BJ4" s="490"/>
      <c r="BK4" s="436" t="s">
        <v>138</v>
      </c>
      <c r="BL4" s="438"/>
      <c r="BM4" s="75" t="s">
        <v>420</v>
      </c>
      <c r="BN4" s="81" t="s">
        <v>415</v>
      </c>
      <c r="BO4" s="81" t="s">
        <v>185</v>
      </c>
      <c r="BP4" s="122" t="s">
        <v>412</v>
      </c>
      <c r="BQ4" s="122" t="s">
        <v>409</v>
      </c>
      <c r="BR4" s="485" t="s">
        <v>147</v>
      </c>
      <c r="BS4" s="486"/>
      <c r="BT4" s="228" t="s">
        <v>261</v>
      </c>
      <c r="BU4" s="81" t="s">
        <v>404</v>
      </c>
      <c r="BV4" s="81" t="s">
        <v>276</v>
      </c>
      <c r="BW4" s="228" t="s">
        <v>265</v>
      </c>
      <c r="BX4" s="485" t="s">
        <v>149</v>
      </c>
      <c r="BY4" s="486"/>
      <c r="BZ4" s="514" t="s">
        <v>165</v>
      </c>
    </row>
    <row r="5" spans="1:78" s="70" customFormat="1" ht="30">
      <c r="A5" s="34"/>
      <c r="B5" s="17" t="s">
        <v>3</v>
      </c>
      <c r="C5" s="83"/>
      <c r="D5" s="34" t="s">
        <v>65</v>
      </c>
      <c r="E5" s="34" t="s">
        <v>66</v>
      </c>
      <c r="F5" s="34" t="s">
        <v>85</v>
      </c>
      <c r="G5" s="34" t="s">
        <v>65</v>
      </c>
      <c r="H5" s="34" t="s">
        <v>134</v>
      </c>
      <c r="I5" s="34" t="s">
        <v>258</v>
      </c>
      <c r="J5" s="34" t="s">
        <v>85</v>
      </c>
      <c r="K5" s="34" t="s">
        <v>69</v>
      </c>
      <c r="L5" s="34" t="s">
        <v>70</v>
      </c>
      <c r="M5" s="34" t="s">
        <v>175</v>
      </c>
      <c r="N5" s="34" t="s">
        <v>135</v>
      </c>
      <c r="O5" s="34" t="s">
        <v>88</v>
      </c>
      <c r="P5" s="34" t="s">
        <v>91</v>
      </c>
      <c r="Q5" s="34" t="s">
        <v>122</v>
      </c>
      <c r="R5" s="34" t="s">
        <v>122</v>
      </c>
      <c r="S5" s="34" t="s">
        <v>122</v>
      </c>
      <c r="T5" s="34" t="s">
        <v>122</v>
      </c>
      <c r="U5" s="34" t="s">
        <v>150</v>
      </c>
      <c r="V5" s="34" t="s">
        <v>124</v>
      </c>
      <c r="W5" s="34" t="s">
        <v>122</v>
      </c>
      <c r="X5" s="34" t="s">
        <v>187</v>
      </c>
      <c r="Y5" s="34" t="s">
        <v>187</v>
      </c>
      <c r="Z5" s="34" t="s">
        <v>187</v>
      </c>
      <c r="AA5" s="34" t="s">
        <v>122</v>
      </c>
      <c r="AB5" s="34" t="s">
        <v>187</v>
      </c>
      <c r="AC5" s="34" t="s">
        <v>122</v>
      </c>
      <c r="AD5" s="34" t="s">
        <v>184</v>
      </c>
      <c r="AE5" s="34" t="s">
        <v>91</v>
      </c>
      <c r="AF5" s="34" t="s">
        <v>121</v>
      </c>
      <c r="AG5" s="34" t="s">
        <v>91</v>
      </c>
      <c r="AH5" s="34" t="s">
        <v>169</v>
      </c>
      <c r="AI5" s="34" t="s">
        <v>124</v>
      </c>
      <c r="AJ5" s="34" t="s">
        <v>150</v>
      </c>
      <c r="AK5" s="34" t="s">
        <v>124</v>
      </c>
      <c r="AL5" s="34"/>
      <c r="AM5" s="34" t="s">
        <v>124</v>
      </c>
      <c r="AN5" s="34" t="s">
        <v>91</v>
      </c>
      <c r="AO5" s="34"/>
      <c r="AP5" s="34" t="s">
        <v>86</v>
      </c>
      <c r="AQ5" s="34" t="s">
        <v>67</v>
      </c>
      <c r="AR5" s="34" t="s">
        <v>68</v>
      </c>
      <c r="AS5" s="34" t="s">
        <v>86</v>
      </c>
      <c r="AT5" s="34"/>
      <c r="AU5" s="34" t="s">
        <v>133</v>
      </c>
      <c r="AV5" s="34" t="s">
        <v>69</v>
      </c>
      <c r="AW5" s="34" t="s">
        <v>70</v>
      </c>
      <c r="AX5" s="34" t="s">
        <v>85</v>
      </c>
      <c r="AY5" s="34"/>
      <c r="AZ5" s="34" t="s">
        <v>69</v>
      </c>
      <c r="BA5" s="34" t="s">
        <v>70</v>
      </c>
      <c r="BB5" s="34" t="s">
        <v>85</v>
      </c>
      <c r="BC5" s="34" t="s">
        <v>69</v>
      </c>
      <c r="BD5" s="34" t="s">
        <v>70</v>
      </c>
      <c r="BE5" s="34" t="s">
        <v>85</v>
      </c>
      <c r="BF5" s="34" t="s">
        <v>92</v>
      </c>
      <c r="BG5" s="34" t="s">
        <v>85</v>
      </c>
      <c r="BH5" s="34" t="s">
        <v>133</v>
      </c>
      <c r="BI5" s="34" t="s">
        <v>118</v>
      </c>
      <c r="BJ5" s="82" t="s">
        <v>72</v>
      </c>
      <c r="BK5" s="34" t="s">
        <v>69</v>
      </c>
      <c r="BL5" s="34" t="s">
        <v>73</v>
      </c>
      <c r="BM5" s="82" t="s">
        <v>187</v>
      </c>
      <c r="BN5" s="82" t="s">
        <v>187</v>
      </c>
      <c r="BO5" s="82"/>
      <c r="BP5" s="82"/>
      <c r="BQ5" s="82"/>
      <c r="BR5" s="82" t="s">
        <v>128</v>
      </c>
      <c r="BS5" s="82" t="s">
        <v>86</v>
      </c>
      <c r="BT5" s="323" t="s">
        <v>135</v>
      </c>
      <c r="BU5" s="323" t="s">
        <v>88</v>
      </c>
      <c r="BV5" s="82"/>
      <c r="BW5" s="337" t="s">
        <v>135</v>
      </c>
      <c r="BX5" s="82" t="s">
        <v>150</v>
      </c>
      <c r="BY5" s="82" t="s">
        <v>73</v>
      </c>
      <c r="BZ5" s="515"/>
    </row>
    <row r="6" spans="1:78" s="133" customFormat="1" ht="22.5" customHeight="1">
      <c r="A6" s="428">
        <v>1</v>
      </c>
      <c r="B6" s="430" t="s">
        <v>4</v>
      </c>
      <c r="C6" s="494">
        <v>522.2</v>
      </c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205"/>
      <c r="P6" s="311"/>
      <c r="Q6" s="311"/>
      <c r="R6" s="205"/>
      <c r="S6" s="205"/>
      <c r="T6" s="205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457"/>
      <c r="AJ6" s="457"/>
      <c r="AK6" s="457"/>
      <c r="AL6" s="457"/>
      <c r="AM6" s="89"/>
      <c r="AN6" s="89"/>
      <c r="AO6" s="457" t="s">
        <v>248</v>
      </c>
      <c r="AP6" s="457"/>
      <c r="AQ6" s="89"/>
      <c r="AR6" s="89"/>
      <c r="AS6" s="457"/>
      <c r="AT6" s="457"/>
      <c r="AU6" s="89"/>
      <c r="AV6" s="89"/>
      <c r="AW6" s="89"/>
      <c r="AX6" s="92"/>
      <c r="AY6" s="457" t="s">
        <v>248</v>
      </c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115"/>
      <c r="BK6" s="115"/>
      <c r="BL6" s="115"/>
      <c r="BM6" s="372"/>
      <c r="BN6" s="483"/>
      <c r="BO6" s="483"/>
      <c r="BP6" s="372"/>
      <c r="BQ6" s="483" t="s">
        <v>248</v>
      </c>
      <c r="BR6" s="115"/>
      <c r="BS6" s="115"/>
      <c r="BT6" s="324"/>
      <c r="BU6" s="324"/>
      <c r="BV6" s="238"/>
      <c r="BW6" s="338"/>
      <c r="BX6" s="483"/>
      <c r="BY6" s="483"/>
      <c r="BZ6" s="483"/>
    </row>
    <row r="7" spans="1:78" s="24" customFormat="1" ht="12" customHeight="1">
      <c r="A7" s="429"/>
      <c r="B7" s="431"/>
      <c r="C7" s="495"/>
      <c r="D7" s="195"/>
      <c r="E7" s="195"/>
      <c r="F7" s="195"/>
      <c r="G7" s="195"/>
      <c r="H7" s="195"/>
      <c r="I7" s="195"/>
      <c r="J7" s="195"/>
      <c r="K7" s="195"/>
      <c r="L7" s="195"/>
      <c r="M7" s="195"/>
      <c r="N7" s="195"/>
      <c r="O7" s="204"/>
      <c r="P7" s="311">
        <v>6</v>
      </c>
      <c r="Q7" s="311" t="s">
        <v>227</v>
      </c>
      <c r="R7" s="204"/>
      <c r="S7" s="204"/>
      <c r="T7" s="204"/>
      <c r="U7" s="195"/>
      <c r="V7" s="195"/>
      <c r="W7" s="195"/>
      <c r="X7" s="195"/>
      <c r="Y7" s="195"/>
      <c r="Z7" s="195"/>
      <c r="AA7" s="195"/>
      <c r="AB7" s="195"/>
      <c r="AC7" s="195"/>
      <c r="AD7" s="195"/>
      <c r="AE7" s="227"/>
      <c r="AF7" s="235"/>
      <c r="AG7" s="206"/>
      <c r="AH7" s="206"/>
      <c r="AI7" s="473"/>
      <c r="AJ7" s="473"/>
      <c r="AK7" s="473"/>
      <c r="AL7" s="473"/>
      <c r="AM7" s="206"/>
      <c r="AN7" s="206"/>
      <c r="AO7" s="429"/>
      <c r="AP7" s="473"/>
      <c r="AQ7" s="195"/>
      <c r="AR7" s="195"/>
      <c r="AS7" s="473"/>
      <c r="AT7" s="473"/>
      <c r="AU7" s="195"/>
      <c r="AV7" s="195"/>
      <c r="AW7" s="195"/>
      <c r="AX7" s="287"/>
      <c r="AY7" s="473"/>
      <c r="AZ7" s="195"/>
      <c r="BA7" s="195"/>
      <c r="BB7" s="195"/>
      <c r="BC7" s="195"/>
      <c r="BD7" s="195"/>
      <c r="BE7" s="195"/>
      <c r="BF7" s="195"/>
      <c r="BG7" s="195"/>
      <c r="BH7" s="195"/>
      <c r="BI7" s="195"/>
      <c r="BJ7" s="207"/>
      <c r="BK7" s="207"/>
      <c r="BL7" s="207"/>
      <c r="BM7" s="423"/>
      <c r="BN7" s="484"/>
      <c r="BO7" s="484"/>
      <c r="BP7" s="373"/>
      <c r="BQ7" s="484"/>
      <c r="BR7" s="402"/>
      <c r="BS7" s="402"/>
      <c r="BT7" s="324"/>
      <c r="BU7" s="324"/>
      <c r="BV7" s="238"/>
      <c r="BW7" s="339"/>
      <c r="BX7" s="484"/>
      <c r="BY7" s="484"/>
      <c r="BZ7" s="484"/>
    </row>
    <row r="8" spans="1:78" s="24" customFormat="1" ht="12" customHeight="1">
      <c r="A8" s="433">
        <v>2</v>
      </c>
      <c r="B8" s="441" t="s">
        <v>5</v>
      </c>
      <c r="C8" s="439">
        <v>508.8</v>
      </c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34"/>
      <c r="P8" s="34"/>
      <c r="Q8" s="34"/>
      <c r="R8" s="34"/>
      <c r="S8" s="34"/>
      <c r="T8" s="34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36"/>
      <c r="AG8" s="36"/>
      <c r="AH8" s="36"/>
      <c r="AI8" s="520"/>
      <c r="AJ8" s="520"/>
      <c r="AK8" s="520"/>
      <c r="AL8" s="492"/>
      <c r="AM8" s="36"/>
      <c r="AN8" s="36"/>
      <c r="AO8" s="469" t="s">
        <v>248</v>
      </c>
      <c r="AP8" s="433"/>
      <c r="AQ8" s="10"/>
      <c r="AR8" s="10"/>
      <c r="AS8" s="433"/>
      <c r="AT8" s="433"/>
      <c r="AU8" s="35"/>
      <c r="AV8" s="35"/>
      <c r="AW8" s="10"/>
      <c r="AX8" s="57"/>
      <c r="AY8" s="469" t="s">
        <v>248</v>
      </c>
      <c r="AZ8" s="35"/>
      <c r="BA8" s="10"/>
      <c r="BB8" s="35"/>
      <c r="BC8" s="10"/>
      <c r="BD8" s="10"/>
      <c r="BE8" s="10"/>
      <c r="BF8" s="57"/>
      <c r="BG8" s="57"/>
      <c r="BH8" s="57"/>
      <c r="BI8" s="57"/>
      <c r="BJ8" s="77"/>
      <c r="BK8" s="77"/>
      <c r="BL8" s="77"/>
      <c r="BM8" s="77"/>
      <c r="BN8" s="462"/>
      <c r="BO8" s="448"/>
      <c r="BP8" s="112"/>
      <c r="BQ8" s="529" t="s">
        <v>248</v>
      </c>
      <c r="BR8" s="403"/>
      <c r="BS8" s="403"/>
      <c r="BT8" s="325"/>
      <c r="BU8" s="325"/>
      <c r="BV8" s="40"/>
      <c r="BW8" s="340"/>
      <c r="BX8" s="462"/>
      <c r="BY8" s="462"/>
      <c r="BZ8" s="448"/>
    </row>
    <row r="9" spans="1:78" s="24" customFormat="1" ht="34.5" customHeight="1">
      <c r="A9" s="434"/>
      <c r="B9" s="502"/>
      <c r="C9" s="44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208"/>
      <c r="P9" s="208"/>
      <c r="Q9" s="208"/>
      <c r="R9" s="208"/>
      <c r="S9" s="208"/>
      <c r="T9" s="226" t="s">
        <v>227</v>
      </c>
      <c r="U9" s="35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521"/>
      <c r="AJ9" s="521"/>
      <c r="AK9" s="521"/>
      <c r="AL9" s="493"/>
      <c r="AM9" s="10"/>
      <c r="AN9" s="10"/>
      <c r="AO9" s="434"/>
      <c r="AP9" s="435"/>
      <c r="AQ9" s="10"/>
      <c r="AR9" s="10"/>
      <c r="AS9" s="435"/>
      <c r="AT9" s="435"/>
      <c r="AU9" s="10"/>
      <c r="AV9" s="10"/>
      <c r="AW9" s="10"/>
      <c r="AX9" s="58"/>
      <c r="AY9" s="472"/>
      <c r="AZ9" s="35"/>
      <c r="BA9" s="10"/>
      <c r="BB9" s="35"/>
      <c r="BC9" s="10"/>
      <c r="BD9" s="10"/>
      <c r="BE9" s="10"/>
      <c r="BF9" s="57"/>
      <c r="BG9" s="57"/>
      <c r="BH9" s="57"/>
      <c r="BI9" s="57"/>
      <c r="BJ9" s="77"/>
      <c r="BK9" s="77"/>
      <c r="BL9" s="77"/>
      <c r="BM9" s="414"/>
      <c r="BN9" s="464"/>
      <c r="BO9" s="450"/>
      <c r="BP9" s="371"/>
      <c r="BQ9" s="530"/>
      <c r="BR9" s="403"/>
      <c r="BS9" s="403"/>
      <c r="BT9" s="325"/>
      <c r="BU9" s="325"/>
      <c r="BV9" s="40"/>
      <c r="BW9" s="341"/>
      <c r="BX9" s="464"/>
      <c r="BY9" s="464"/>
      <c r="BZ9" s="450"/>
    </row>
    <row r="10" spans="1:78" s="116" customFormat="1" ht="12" customHeight="1">
      <c r="A10" s="428">
        <v>3</v>
      </c>
      <c r="B10" s="430" t="s">
        <v>6</v>
      </c>
      <c r="C10" s="494">
        <v>463.7</v>
      </c>
      <c r="D10" s="203"/>
      <c r="E10" s="195"/>
      <c r="F10" s="195"/>
      <c r="G10" s="195"/>
      <c r="H10" s="195"/>
      <c r="I10" s="195"/>
      <c r="J10" s="195"/>
      <c r="K10" s="195"/>
      <c r="L10" s="195"/>
      <c r="M10" s="195"/>
      <c r="N10" s="195"/>
      <c r="O10" s="209"/>
      <c r="P10" s="209"/>
      <c r="Q10" s="209"/>
      <c r="R10" s="209"/>
      <c r="S10" s="209"/>
      <c r="T10" s="209"/>
      <c r="U10" s="195"/>
      <c r="V10" s="195"/>
      <c r="W10" s="195"/>
      <c r="X10" s="195"/>
      <c r="Y10" s="195"/>
      <c r="Z10" s="195"/>
      <c r="AA10" s="195"/>
      <c r="AB10" s="195"/>
      <c r="AC10" s="195"/>
      <c r="AD10" s="195"/>
      <c r="AE10" s="195"/>
      <c r="AF10" s="195"/>
      <c r="AG10" s="195"/>
      <c r="AH10" s="195"/>
      <c r="AI10" s="428"/>
      <c r="AJ10" s="428"/>
      <c r="AK10" s="428"/>
      <c r="AL10" s="457"/>
      <c r="AM10" s="61"/>
      <c r="AN10" s="61"/>
      <c r="AO10" s="457" t="s">
        <v>248</v>
      </c>
      <c r="AP10" s="428"/>
      <c r="AQ10" s="89"/>
      <c r="AR10" s="61"/>
      <c r="AS10" s="428"/>
      <c r="AT10" s="428"/>
      <c r="AU10" s="61"/>
      <c r="AV10" s="61"/>
      <c r="AW10" s="61"/>
      <c r="AX10" s="71"/>
      <c r="AY10" s="457" t="s">
        <v>248</v>
      </c>
      <c r="AZ10" s="89"/>
      <c r="BA10" s="61"/>
      <c r="BB10" s="230"/>
      <c r="BC10" s="61"/>
      <c r="BD10" s="61"/>
      <c r="BE10" s="61"/>
      <c r="BF10" s="61"/>
      <c r="BG10" s="61"/>
      <c r="BH10" s="61"/>
      <c r="BI10" s="61"/>
      <c r="BJ10" s="96"/>
      <c r="BK10" s="96"/>
      <c r="BL10" s="96"/>
      <c r="BM10" s="417"/>
      <c r="BN10" s="459"/>
      <c r="BO10" s="451"/>
      <c r="BP10" s="220"/>
      <c r="BQ10" s="487" t="s">
        <v>248</v>
      </c>
      <c r="BR10" s="134"/>
      <c r="BS10" s="134"/>
      <c r="BT10" s="326"/>
      <c r="BU10" s="326"/>
      <c r="BV10" s="96"/>
      <c r="BW10" s="342"/>
      <c r="BX10" s="459"/>
      <c r="BY10" s="459"/>
      <c r="BZ10" s="451"/>
    </row>
    <row r="11" spans="1:78" s="24" customFormat="1" ht="25.5" customHeight="1">
      <c r="A11" s="432"/>
      <c r="B11" s="500"/>
      <c r="C11" s="499"/>
      <c r="D11" s="195"/>
      <c r="E11" s="195"/>
      <c r="F11" s="195"/>
      <c r="G11" s="195"/>
      <c r="H11" s="195"/>
      <c r="I11" s="195"/>
      <c r="J11" s="195"/>
      <c r="K11" s="195"/>
      <c r="L11" s="195"/>
      <c r="M11" s="195"/>
      <c r="N11" s="195"/>
      <c r="O11" s="234"/>
      <c r="P11" s="275"/>
      <c r="Q11" s="303"/>
      <c r="R11" s="241"/>
      <c r="S11" s="282"/>
      <c r="T11" s="314"/>
      <c r="U11" s="195"/>
      <c r="V11" s="195"/>
      <c r="W11" s="195"/>
      <c r="X11" s="195"/>
      <c r="Y11" s="195"/>
      <c r="Z11" s="195"/>
      <c r="AA11" s="195"/>
      <c r="AB11" s="195"/>
      <c r="AC11" s="195"/>
      <c r="AD11" s="195"/>
      <c r="AE11" s="195"/>
      <c r="AF11" s="195"/>
      <c r="AG11" s="195"/>
      <c r="AH11" s="195"/>
      <c r="AI11" s="429"/>
      <c r="AJ11" s="429"/>
      <c r="AK11" s="429"/>
      <c r="AL11" s="432"/>
      <c r="AM11" s="61"/>
      <c r="AN11" s="61"/>
      <c r="AO11" s="432"/>
      <c r="AP11" s="429"/>
      <c r="AQ11" s="195"/>
      <c r="AR11" s="195"/>
      <c r="AS11" s="429"/>
      <c r="AT11" s="429"/>
      <c r="AU11" s="195"/>
      <c r="AV11" s="195"/>
      <c r="AW11" s="195"/>
      <c r="AX11" s="288"/>
      <c r="AY11" s="432"/>
      <c r="AZ11" s="195"/>
      <c r="BA11" s="195"/>
      <c r="BB11" s="200"/>
      <c r="BC11" s="195"/>
      <c r="BD11" s="195"/>
      <c r="BE11" s="195"/>
      <c r="BF11" s="195"/>
      <c r="BG11" s="195"/>
      <c r="BH11" s="195"/>
      <c r="BI11" s="195"/>
      <c r="BJ11" s="207"/>
      <c r="BK11" s="207"/>
      <c r="BL11" s="207"/>
      <c r="BM11" s="423"/>
      <c r="BN11" s="461"/>
      <c r="BO11" s="453"/>
      <c r="BP11" s="292"/>
      <c r="BQ11" s="488"/>
      <c r="BR11" s="402"/>
      <c r="BS11" s="402"/>
      <c r="BT11" s="327"/>
      <c r="BU11" s="327"/>
      <c r="BV11" s="207"/>
      <c r="BW11" s="343"/>
      <c r="BX11" s="461"/>
      <c r="BY11" s="461"/>
      <c r="BZ11" s="453"/>
    </row>
    <row r="12" spans="1:78" s="24" customFormat="1" ht="12" customHeight="1">
      <c r="A12" s="433">
        <v>4</v>
      </c>
      <c r="B12" s="441" t="s">
        <v>7</v>
      </c>
      <c r="C12" s="439">
        <v>523.6</v>
      </c>
      <c r="D12" s="35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34"/>
      <c r="P12" s="34"/>
      <c r="Q12" s="34"/>
      <c r="R12" s="34"/>
      <c r="S12" s="34"/>
      <c r="T12" s="34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433"/>
      <c r="AJ12" s="433"/>
      <c r="AK12" s="433"/>
      <c r="AL12" s="469"/>
      <c r="AM12" s="10"/>
      <c r="AN12" s="10"/>
      <c r="AO12" s="469" t="s">
        <v>248</v>
      </c>
      <c r="AP12" s="433"/>
      <c r="AQ12" s="10"/>
      <c r="AR12" s="10"/>
      <c r="AS12" s="433"/>
      <c r="AT12" s="433"/>
      <c r="AU12" s="35"/>
      <c r="AV12" s="35"/>
      <c r="AW12" s="10"/>
      <c r="AX12" s="57"/>
      <c r="AY12" s="469" t="s">
        <v>248</v>
      </c>
      <c r="AZ12" s="35" t="s">
        <v>199</v>
      </c>
      <c r="BA12" s="10">
        <v>10</v>
      </c>
      <c r="BB12" s="35" t="s">
        <v>269</v>
      </c>
      <c r="BC12" s="10"/>
      <c r="BD12" s="10"/>
      <c r="BE12" s="10"/>
      <c r="BF12" s="10"/>
      <c r="BG12" s="10"/>
      <c r="BH12" s="10"/>
      <c r="BI12" s="10"/>
      <c r="BJ12" s="40"/>
      <c r="BK12" s="40"/>
      <c r="BL12" s="40"/>
      <c r="BM12" s="77"/>
      <c r="BN12" s="462"/>
      <c r="BO12" s="448"/>
      <c r="BP12" s="112"/>
      <c r="BQ12" s="529" t="s">
        <v>248</v>
      </c>
      <c r="BR12" s="403"/>
      <c r="BS12" s="403"/>
      <c r="BT12" s="325"/>
      <c r="BU12" s="325"/>
      <c r="BV12" s="40"/>
      <c r="BW12" s="340"/>
      <c r="BX12" s="462"/>
      <c r="BY12" s="462"/>
      <c r="BZ12" s="448"/>
    </row>
    <row r="13" spans="1:78" s="24" customFormat="1" ht="12" customHeight="1">
      <c r="A13" s="435"/>
      <c r="B13" s="442"/>
      <c r="C13" s="454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208"/>
      <c r="P13" s="208"/>
      <c r="Q13" s="208"/>
      <c r="R13" s="208"/>
      <c r="S13" s="208"/>
      <c r="T13" s="208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435"/>
      <c r="AJ13" s="435"/>
      <c r="AK13" s="435"/>
      <c r="AL13" s="435"/>
      <c r="AM13" s="10"/>
      <c r="AN13" s="10"/>
      <c r="AO13" s="435"/>
      <c r="AP13" s="435"/>
      <c r="AQ13" s="10"/>
      <c r="AR13" s="10"/>
      <c r="AS13" s="435"/>
      <c r="AT13" s="435"/>
      <c r="AU13" s="35"/>
      <c r="AV13" s="35"/>
      <c r="AW13" s="10"/>
      <c r="AX13" s="13"/>
      <c r="AY13" s="435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40"/>
      <c r="BK13" s="40"/>
      <c r="BL13" s="40"/>
      <c r="BM13" s="78"/>
      <c r="BN13" s="464"/>
      <c r="BO13" s="450"/>
      <c r="BP13" s="371"/>
      <c r="BQ13" s="530"/>
      <c r="BR13" s="403"/>
      <c r="BS13" s="403"/>
      <c r="BT13" s="325"/>
      <c r="BU13" s="325"/>
      <c r="BV13" s="40"/>
      <c r="BW13" s="341"/>
      <c r="BX13" s="464"/>
      <c r="BY13" s="464"/>
      <c r="BZ13" s="450"/>
    </row>
    <row r="14" spans="1:78" s="116" customFormat="1" ht="27" customHeight="1">
      <c r="A14" s="61">
        <v>5</v>
      </c>
      <c r="B14" s="62" t="s">
        <v>8</v>
      </c>
      <c r="C14" s="117">
        <v>95.1</v>
      </c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80"/>
      <c r="P14" s="80"/>
      <c r="Q14" s="80"/>
      <c r="R14" s="80"/>
      <c r="S14" s="80"/>
      <c r="T14" s="80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89"/>
      <c r="AM14" s="61"/>
      <c r="AN14" s="61"/>
      <c r="AO14" s="89" t="s">
        <v>248</v>
      </c>
      <c r="AP14" s="61"/>
      <c r="AQ14" s="61"/>
      <c r="AR14" s="61"/>
      <c r="AS14" s="61"/>
      <c r="AT14" s="61"/>
      <c r="AU14" s="61"/>
      <c r="AV14" s="61"/>
      <c r="AW14" s="61"/>
      <c r="AX14" s="61"/>
      <c r="AY14" s="89" t="s">
        <v>248</v>
      </c>
      <c r="AZ14" s="89"/>
      <c r="BA14" s="61"/>
      <c r="BB14" s="89"/>
      <c r="BC14" s="61"/>
      <c r="BD14" s="61"/>
      <c r="BE14" s="61"/>
      <c r="BF14" s="61"/>
      <c r="BG14" s="61"/>
      <c r="BH14" s="61"/>
      <c r="BI14" s="61"/>
      <c r="BJ14" s="96"/>
      <c r="BK14" s="96"/>
      <c r="BL14" s="96"/>
      <c r="BM14" s="96"/>
      <c r="BN14" s="96"/>
      <c r="BO14" s="104"/>
      <c r="BP14" s="104"/>
      <c r="BQ14" s="261" t="s">
        <v>248</v>
      </c>
      <c r="BR14" s="134"/>
      <c r="BS14" s="134"/>
      <c r="BT14" s="326"/>
      <c r="BU14" s="326"/>
      <c r="BV14" s="96"/>
      <c r="BW14" s="344"/>
      <c r="BX14" s="96"/>
      <c r="BY14" s="96"/>
      <c r="BZ14" s="104"/>
    </row>
    <row r="15" spans="1:141" s="116" customFormat="1" ht="24.75" customHeight="1">
      <c r="A15" s="433">
        <v>6</v>
      </c>
      <c r="B15" s="441" t="s">
        <v>9</v>
      </c>
      <c r="C15" s="439">
        <v>516.1</v>
      </c>
      <c r="D15" s="210"/>
      <c r="E15" s="210"/>
      <c r="F15" s="290"/>
      <c r="G15" s="301"/>
      <c r="H15" s="301"/>
      <c r="I15" s="301"/>
      <c r="J15" s="301"/>
      <c r="K15" s="210"/>
      <c r="L15" s="210"/>
      <c r="M15" s="210"/>
      <c r="N15" s="276"/>
      <c r="O15" s="211"/>
      <c r="P15" s="211"/>
      <c r="Q15" s="211"/>
      <c r="R15" s="211"/>
      <c r="S15" s="211"/>
      <c r="T15" s="211"/>
      <c r="U15" s="210"/>
      <c r="V15" s="210"/>
      <c r="W15" s="210"/>
      <c r="X15" s="382"/>
      <c r="Y15" s="301"/>
      <c r="Z15" s="263"/>
      <c r="AA15" s="263"/>
      <c r="AB15" s="363"/>
      <c r="AC15" s="363"/>
      <c r="AD15" s="210"/>
      <c r="AE15" s="210"/>
      <c r="AF15" s="210"/>
      <c r="AG15" s="223"/>
      <c r="AH15" s="223"/>
      <c r="AI15" s="445"/>
      <c r="AJ15" s="445"/>
      <c r="AK15" s="445"/>
      <c r="AL15" s="476"/>
      <c r="AM15" s="210"/>
      <c r="AN15" s="229"/>
      <c r="AO15" s="476" t="s">
        <v>248</v>
      </c>
      <c r="AP15" s="445"/>
      <c r="AQ15" s="210"/>
      <c r="AR15" s="210"/>
      <c r="AS15" s="445"/>
      <c r="AT15" s="445"/>
      <c r="AU15" s="210"/>
      <c r="AV15" s="210"/>
      <c r="AW15" s="210"/>
      <c r="AX15" s="273"/>
      <c r="AY15" s="476" t="s">
        <v>248</v>
      </c>
      <c r="AZ15" s="210"/>
      <c r="BA15" s="210"/>
      <c r="BB15" s="210"/>
      <c r="BC15" s="222"/>
      <c r="BD15" s="210"/>
      <c r="BE15" s="222"/>
      <c r="BF15" s="278"/>
      <c r="BG15" s="278"/>
      <c r="BH15" s="210"/>
      <c r="BI15" s="210"/>
      <c r="BJ15" s="213"/>
      <c r="BK15" s="213"/>
      <c r="BL15" s="213"/>
      <c r="BM15" s="420"/>
      <c r="BN15" s="479"/>
      <c r="BO15" s="481"/>
      <c r="BP15" s="375"/>
      <c r="BQ15" s="531" t="s">
        <v>248</v>
      </c>
      <c r="BR15" s="404"/>
      <c r="BS15" s="404"/>
      <c r="BT15" s="328"/>
      <c r="BU15" s="328"/>
      <c r="BV15" s="260"/>
      <c r="BW15" s="345"/>
      <c r="BX15" s="479"/>
      <c r="BY15" s="479"/>
      <c r="BZ15" s="481"/>
      <c r="CA15" s="214"/>
      <c r="CB15" s="214"/>
      <c r="CC15" s="214"/>
      <c r="CD15" s="214"/>
      <c r="CE15" s="214"/>
      <c r="CF15" s="214"/>
      <c r="CG15" s="214"/>
      <c r="CH15" s="214"/>
      <c r="CI15" s="214"/>
      <c r="CJ15" s="214"/>
      <c r="CK15" s="214"/>
      <c r="CL15" s="214"/>
      <c r="CM15" s="214"/>
      <c r="CN15" s="214"/>
      <c r="CO15" s="214"/>
      <c r="CP15" s="214"/>
      <c r="CQ15" s="214"/>
      <c r="CR15" s="214"/>
      <c r="CS15" s="214"/>
      <c r="CT15" s="214"/>
      <c r="CU15" s="214"/>
      <c r="CV15" s="214"/>
      <c r="CW15" s="214"/>
      <c r="CX15" s="214"/>
      <c r="CY15" s="214"/>
      <c r="CZ15" s="214"/>
      <c r="DA15" s="214"/>
      <c r="DB15" s="214"/>
      <c r="DC15" s="214"/>
      <c r="DD15" s="214"/>
      <c r="DE15" s="214"/>
      <c r="DF15" s="214"/>
      <c r="DG15" s="214"/>
      <c r="DH15" s="214"/>
      <c r="DI15" s="214"/>
      <c r="DJ15" s="214"/>
      <c r="DK15" s="214"/>
      <c r="DL15" s="214"/>
      <c r="DM15" s="214"/>
      <c r="DN15" s="214"/>
      <c r="DO15" s="214"/>
      <c r="DP15" s="214"/>
      <c r="DQ15" s="214"/>
      <c r="DR15" s="214"/>
      <c r="DS15" s="214"/>
      <c r="DT15" s="214"/>
      <c r="DU15" s="214"/>
      <c r="DV15" s="214"/>
      <c r="DW15" s="214"/>
      <c r="DX15" s="214"/>
      <c r="DY15" s="214"/>
      <c r="DZ15" s="214"/>
      <c r="EA15" s="214"/>
      <c r="EB15" s="214"/>
      <c r="EC15" s="214"/>
      <c r="ED15" s="214"/>
      <c r="EE15" s="214"/>
      <c r="EF15" s="214"/>
      <c r="EG15" s="214"/>
      <c r="EH15" s="214"/>
      <c r="EI15" s="214"/>
      <c r="EJ15" s="214"/>
      <c r="EK15" s="214"/>
    </row>
    <row r="16" spans="1:78" s="24" customFormat="1" ht="12" customHeight="1">
      <c r="A16" s="435"/>
      <c r="B16" s="442"/>
      <c r="C16" s="454"/>
      <c r="D16" s="210"/>
      <c r="E16" s="210"/>
      <c r="F16" s="290"/>
      <c r="G16" s="301"/>
      <c r="H16" s="301"/>
      <c r="I16" s="301"/>
      <c r="J16" s="301"/>
      <c r="K16" s="210"/>
      <c r="L16" s="210"/>
      <c r="M16" s="210"/>
      <c r="N16" s="276"/>
      <c r="O16" s="211"/>
      <c r="P16" s="211"/>
      <c r="Q16" s="211"/>
      <c r="R16" s="211"/>
      <c r="S16" s="211"/>
      <c r="T16" s="211"/>
      <c r="U16" s="210"/>
      <c r="V16" s="210"/>
      <c r="W16" s="210"/>
      <c r="X16" s="382"/>
      <c r="Y16" s="301"/>
      <c r="Z16" s="263"/>
      <c r="AA16" s="263"/>
      <c r="AB16" s="363"/>
      <c r="AC16" s="363"/>
      <c r="AD16" s="210"/>
      <c r="AE16" s="210"/>
      <c r="AF16" s="210"/>
      <c r="AG16" s="223"/>
      <c r="AH16" s="223"/>
      <c r="AI16" s="446"/>
      <c r="AJ16" s="446"/>
      <c r="AK16" s="446"/>
      <c r="AL16" s="518"/>
      <c r="AM16" s="210"/>
      <c r="AN16" s="229"/>
      <c r="AO16" s="518"/>
      <c r="AP16" s="446"/>
      <c r="AQ16" s="210"/>
      <c r="AR16" s="210"/>
      <c r="AS16" s="446"/>
      <c r="AT16" s="446"/>
      <c r="AU16" s="212"/>
      <c r="AV16" s="210"/>
      <c r="AW16" s="210"/>
      <c r="AX16" s="274"/>
      <c r="AY16" s="518"/>
      <c r="AZ16" s="210"/>
      <c r="BA16" s="210"/>
      <c r="BB16" s="210"/>
      <c r="BC16" s="210"/>
      <c r="BD16" s="210"/>
      <c r="BE16" s="210"/>
      <c r="BF16" s="279"/>
      <c r="BG16" s="279"/>
      <c r="BH16" s="210"/>
      <c r="BI16" s="210"/>
      <c r="BJ16" s="213"/>
      <c r="BK16" s="213"/>
      <c r="BL16" s="213"/>
      <c r="BM16" s="421"/>
      <c r="BN16" s="480"/>
      <c r="BO16" s="482"/>
      <c r="BP16" s="376"/>
      <c r="BQ16" s="532"/>
      <c r="BR16" s="404"/>
      <c r="BS16" s="404"/>
      <c r="BT16" s="329"/>
      <c r="BU16" s="329"/>
      <c r="BV16" s="213"/>
      <c r="BW16" s="346"/>
      <c r="BX16" s="480"/>
      <c r="BY16" s="480"/>
      <c r="BZ16" s="482"/>
    </row>
    <row r="17" spans="1:78" s="116" customFormat="1" ht="36.75" customHeight="1">
      <c r="A17" s="428">
        <v>7</v>
      </c>
      <c r="B17" s="498" t="s">
        <v>10</v>
      </c>
      <c r="C17" s="494">
        <v>1224.3</v>
      </c>
      <c r="D17" s="89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230"/>
      <c r="P17" s="230"/>
      <c r="Q17" s="311"/>
      <c r="R17" s="230"/>
      <c r="S17" s="230"/>
      <c r="T17" s="320"/>
      <c r="U17" s="61"/>
      <c r="V17" s="61"/>
      <c r="W17" s="61"/>
      <c r="X17" s="61"/>
      <c r="Y17" s="61"/>
      <c r="Z17" s="61"/>
      <c r="AA17" s="61"/>
      <c r="AB17" s="61">
        <v>1</v>
      </c>
      <c r="AC17" s="89" t="s">
        <v>230</v>
      </c>
      <c r="AD17" s="61"/>
      <c r="AE17" s="61">
        <v>14</v>
      </c>
      <c r="AF17" s="89" t="s">
        <v>254</v>
      </c>
      <c r="AG17" s="89"/>
      <c r="AH17" s="89"/>
      <c r="AI17" s="428"/>
      <c r="AJ17" s="428"/>
      <c r="AK17" s="428"/>
      <c r="AL17" s="457"/>
      <c r="AM17" s="61"/>
      <c r="AN17" s="61"/>
      <c r="AO17" s="457" t="s">
        <v>248</v>
      </c>
      <c r="AP17" s="428"/>
      <c r="AQ17" s="61"/>
      <c r="AR17" s="61"/>
      <c r="AS17" s="428"/>
      <c r="AT17" s="428"/>
      <c r="AU17" s="61"/>
      <c r="AV17" s="61"/>
      <c r="AW17" s="61"/>
      <c r="AX17" s="71"/>
      <c r="AY17" s="457" t="s">
        <v>248</v>
      </c>
      <c r="AZ17" s="89"/>
      <c r="BA17" s="61"/>
      <c r="BB17" s="89"/>
      <c r="BC17" s="61"/>
      <c r="BD17" s="61"/>
      <c r="BE17" s="61"/>
      <c r="BF17" s="61"/>
      <c r="BG17" s="61"/>
      <c r="BH17" s="89"/>
      <c r="BI17" s="61"/>
      <c r="BJ17" s="104"/>
      <c r="BK17" s="96"/>
      <c r="BL17" s="96"/>
      <c r="BM17" s="417"/>
      <c r="BN17" s="459"/>
      <c r="BO17" s="451"/>
      <c r="BP17" s="220"/>
      <c r="BQ17" s="487" t="s">
        <v>248</v>
      </c>
      <c r="BR17" s="134"/>
      <c r="BS17" s="134"/>
      <c r="BT17" s="326"/>
      <c r="BU17" s="326"/>
      <c r="BV17" s="96"/>
      <c r="BW17" s="342"/>
      <c r="BX17" s="459"/>
      <c r="BY17" s="459"/>
      <c r="BZ17" s="451"/>
    </row>
    <row r="18" spans="1:78" s="116" customFormat="1" ht="24" customHeight="1">
      <c r="A18" s="429"/>
      <c r="B18" s="498"/>
      <c r="C18" s="495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230"/>
      <c r="P18" s="230"/>
      <c r="Q18" s="311"/>
      <c r="R18" s="230"/>
      <c r="S18" s="230"/>
      <c r="T18" s="320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89"/>
      <c r="AF18" s="89"/>
      <c r="AG18" s="89"/>
      <c r="AH18" s="89"/>
      <c r="AI18" s="429"/>
      <c r="AJ18" s="429"/>
      <c r="AK18" s="429"/>
      <c r="AL18" s="429"/>
      <c r="AM18" s="61"/>
      <c r="AN18" s="61"/>
      <c r="AO18" s="429"/>
      <c r="AP18" s="429"/>
      <c r="AQ18" s="61"/>
      <c r="AR18" s="61"/>
      <c r="AS18" s="429"/>
      <c r="AT18" s="429"/>
      <c r="AU18" s="61"/>
      <c r="AV18" s="61"/>
      <c r="AW18" s="61"/>
      <c r="AX18" s="72"/>
      <c r="AY18" s="429"/>
      <c r="AZ18" s="89"/>
      <c r="BA18" s="61"/>
      <c r="BB18" s="89"/>
      <c r="BC18" s="61"/>
      <c r="BD18" s="61"/>
      <c r="BE18" s="61"/>
      <c r="BF18" s="61"/>
      <c r="BG18" s="61"/>
      <c r="BH18" s="61"/>
      <c r="BI18" s="61"/>
      <c r="BJ18" s="96"/>
      <c r="BK18" s="96"/>
      <c r="BL18" s="96"/>
      <c r="BM18" s="118"/>
      <c r="BN18" s="461"/>
      <c r="BO18" s="453"/>
      <c r="BP18" s="292"/>
      <c r="BQ18" s="488"/>
      <c r="BR18" s="134"/>
      <c r="BS18" s="134"/>
      <c r="BT18" s="326"/>
      <c r="BU18" s="326"/>
      <c r="BV18" s="96"/>
      <c r="BW18" s="343"/>
      <c r="BX18" s="461"/>
      <c r="BY18" s="461"/>
      <c r="BZ18" s="453"/>
    </row>
    <row r="19" spans="1:78" s="24" customFormat="1" ht="33.75" customHeight="1">
      <c r="A19" s="433">
        <v>8</v>
      </c>
      <c r="B19" s="443" t="s">
        <v>11</v>
      </c>
      <c r="C19" s="439">
        <v>521.4</v>
      </c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35"/>
      <c r="P19" s="35"/>
      <c r="Q19" s="35"/>
      <c r="R19" s="35"/>
      <c r="S19" s="35"/>
      <c r="T19" s="35"/>
      <c r="U19" s="35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433"/>
      <c r="AJ19" s="433"/>
      <c r="AK19" s="433"/>
      <c r="AL19" s="469"/>
      <c r="AM19" s="10"/>
      <c r="AN19" s="10"/>
      <c r="AO19" s="469" t="s">
        <v>248</v>
      </c>
      <c r="AP19" s="433"/>
      <c r="AQ19" s="10"/>
      <c r="AR19" s="10"/>
      <c r="AS19" s="433"/>
      <c r="AT19" s="433"/>
      <c r="AU19" s="35"/>
      <c r="AV19" s="35"/>
      <c r="AW19" s="35"/>
      <c r="AX19" s="56"/>
      <c r="AY19" s="469" t="s">
        <v>248</v>
      </c>
      <c r="AZ19" s="35" t="s">
        <v>199</v>
      </c>
      <c r="BA19" s="35">
        <v>11</v>
      </c>
      <c r="BB19" s="35" t="s">
        <v>209</v>
      </c>
      <c r="BC19" s="35"/>
      <c r="BD19" s="10"/>
      <c r="BE19" s="35"/>
      <c r="BF19" s="35"/>
      <c r="BG19" s="35"/>
      <c r="BH19" s="10"/>
      <c r="BI19" s="10"/>
      <c r="BJ19" s="40"/>
      <c r="BK19" s="40"/>
      <c r="BL19" s="40"/>
      <c r="BM19" s="77"/>
      <c r="BN19" s="462"/>
      <c r="BO19" s="448"/>
      <c r="BP19" s="112"/>
      <c r="BQ19" s="529" t="s">
        <v>248</v>
      </c>
      <c r="BR19" s="403"/>
      <c r="BS19" s="403"/>
      <c r="BT19" s="325"/>
      <c r="BU19" s="325"/>
      <c r="BV19" s="40"/>
      <c r="BW19" s="340"/>
      <c r="BX19" s="462"/>
      <c r="BY19" s="462"/>
      <c r="BZ19" s="448"/>
    </row>
    <row r="20" spans="1:78" s="24" customFormat="1" ht="12.75" customHeight="1">
      <c r="A20" s="434"/>
      <c r="B20" s="444"/>
      <c r="C20" s="44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57"/>
      <c r="O20" s="113"/>
      <c r="P20" s="113"/>
      <c r="Q20" s="113"/>
      <c r="R20" s="113"/>
      <c r="S20" s="113"/>
      <c r="T20" s="113"/>
      <c r="U20" s="10"/>
      <c r="V20" s="10"/>
      <c r="W20" s="57"/>
      <c r="X20" s="57"/>
      <c r="Y20" s="57"/>
      <c r="Z20" s="57"/>
      <c r="AA20" s="57"/>
      <c r="AB20" s="57"/>
      <c r="AC20" s="57"/>
      <c r="AD20" s="57"/>
      <c r="AE20" s="10"/>
      <c r="AF20" s="10"/>
      <c r="AG20" s="57"/>
      <c r="AH20" s="57"/>
      <c r="AI20" s="435"/>
      <c r="AJ20" s="435"/>
      <c r="AK20" s="435"/>
      <c r="AL20" s="434"/>
      <c r="AM20" s="57"/>
      <c r="AN20" s="10"/>
      <c r="AO20" s="434"/>
      <c r="AP20" s="435"/>
      <c r="AQ20" s="10"/>
      <c r="AR20" s="10"/>
      <c r="AS20" s="435"/>
      <c r="AT20" s="435"/>
      <c r="AU20" s="35"/>
      <c r="AV20" s="35"/>
      <c r="AW20" s="35"/>
      <c r="AX20" s="197"/>
      <c r="AY20" s="472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40"/>
      <c r="BK20" s="40"/>
      <c r="BL20" s="40"/>
      <c r="BM20" s="78"/>
      <c r="BN20" s="464"/>
      <c r="BO20" s="450"/>
      <c r="BP20" s="371"/>
      <c r="BQ20" s="530"/>
      <c r="BR20" s="403"/>
      <c r="BS20" s="403"/>
      <c r="BT20" s="325"/>
      <c r="BU20" s="325"/>
      <c r="BV20" s="40"/>
      <c r="BW20" s="341"/>
      <c r="BX20" s="464"/>
      <c r="BY20" s="464"/>
      <c r="BZ20" s="450"/>
    </row>
    <row r="21" spans="1:78" s="116" customFormat="1" ht="33.75" customHeight="1">
      <c r="A21" s="428">
        <v>9</v>
      </c>
      <c r="B21" s="498" t="s">
        <v>12</v>
      </c>
      <c r="C21" s="428">
        <v>3440.9</v>
      </c>
      <c r="D21" s="89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230"/>
      <c r="P21" s="230">
        <v>20</v>
      </c>
      <c r="Q21" s="311" t="s">
        <v>230</v>
      </c>
      <c r="R21" s="230"/>
      <c r="S21" s="230"/>
      <c r="T21" s="320"/>
      <c r="U21" s="61"/>
      <c r="V21" s="61"/>
      <c r="W21" s="89" t="s">
        <v>230</v>
      </c>
      <c r="X21" s="61"/>
      <c r="Y21" s="61"/>
      <c r="Z21" s="61">
        <v>16</v>
      </c>
      <c r="AA21" s="89" t="s">
        <v>230</v>
      </c>
      <c r="AB21" s="61"/>
      <c r="AC21" s="61"/>
      <c r="AD21" s="61"/>
      <c r="AE21" s="61">
        <v>23</v>
      </c>
      <c r="AF21" s="89" t="s">
        <v>272</v>
      </c>
      <c r="AG21" s="89">
        <v>3.6</v>
      </c>
      <c r="AH21" s="89" t="s">
        <v>322</v>
      </c>
      <c r="AI21" s="528"/>
      <c r="AJ21" s="528"/>
      <c r="AK21" s="457"/>
      <c r="AL21" s="457"/>
      <c r="AM21" s="61"/>
      <c r="AN21" s="61"/>
      <c r="AO21" s="457" t="s">
        <v>248</v>
      </c>
      <c r="AP21" s="428"/>
      <c r="AQ21" s="61"/>
      <c r="AR21" s="61"/>
      <c r="AS21" s="428"/>
      <c r="AT21" s="457"/>
      <c r="AU21" s="89"/>
      <c r="AV21" s="89"/>
      <c r="AW21" s="61"/>
      <c r="AX21" s="71"/>
      <c r="AY21" s="457" t="s">
        <v>248</v>
      </c>
      <c r="AZ21" s="89" t="s">
        <v>199</v>
      </c>
      <c r="BA21" s="61">
        <v>9</v>
      </c>
      <c r="BB21" s="230" t="s">
        <v>263</v>
      </c>
      <c r="BC21" s="61"/>
      <c r="BD21" s="61"/>
      <c r="BE21" s="61"/>
      <c r="BF21" s="61"/>
      <c r="BG21" s="61"/>
      <c r="BH21" s="61"/>
      <c r="BI21" s="61"/>
      <c r="BJ21" s="96"/>
      <c r="BK21" s="96"/>
      <c r="BL21" s="96"/>
      <c r="BM21" s="417"/>
      <c r="BN21" s="451" t="s">
        <v>417</v>
      </c>
      <c r="BO21" s="451"/>
      <c r="BP21" s="451"/>
      <c r="BQ21" s="487" t="s">
        <v>248</v>
      </c>
      <c r="BR21" s="104" t="s">
        <v>322</v>
      </c>
      <c r="BS21" s="104" t="s">
        <v>323</v>
      </c>
      <c r="BT21" s="451" t="s">
        <v>293</v>
      </c>
      <c r="BU21" s="220"/>
      <c r="BV21" s="451" t="s">
        <v>248</v>
      </c>
      <c r="BW21" s="342"/>
      <c r="BX21" s="459"/>
      <c r="BY21" s="459"/>
      <c r="BZ21" s="451"/>
    </row>
    <row r="22" spans="1:78" s="116" customFormat="1" ht="48" customHeight="1">
      <c r="A22" s="432"/>
      <c r="B22" s="498"/>
      <c r="C22" s="432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230"/>
      <c r="P22" s="230"/>
      <c r="Q22" s="311"/>
      <c r="R22" s="230"/>
      <c r="S22" s="230"/>
      <c r="T22" s="320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89"/>
      <c r="AG22" s="89"/>
      <c r="AH22" s="89"/>
      <c r="AI22" s="447"/>
      <c r="AJ22" s="447"/>
      <c r="AK22" s="447"/>
      <c r="AL22" s="432"/>
      <c r="AM22" s="61"/>
      <c r="AN22" s="61"/>
      <c r="AO22" s="432"/>
      <c r="AP22" s="432"/>
      <c r="AQ22" s="61"/>
      <c r="AR22" s="61"/>
      <c r="AS22" s="432"/>
      <c r="AT22" s="447"/>
      <c r="AU22" s="61"/>
      <c r="AV22" s="61"/>
      <c r="AW22" s="61"/>
      <c r="AX22" s="272"/>
      <c r="AY22" s="458"/>
      <c r="AZ22" s="89"/>
      <c r="BA22" s="61"/>
      <c r="BB22" s="230"/>
      <c r="BC22" s="89"/>
      <c r="BD22" s="61"/>
      <c r="BE22" s="230"/>
      <c r="BF22" s="230"/>
      <c r="BG22" s="230"/>
      <c r="BH22" s="61"/>
      <c r="BI22" s="61"/>
      <c r="BJ22" s="96"/>
      <c r="BK22" s="96"/>
      <c r="BL22" s="96"/>
      <c r="BM22" s="418"/>
      <c r="BN22" s="452"/>
      <c r="BO22" s="470"/>
      <c r="BP22" s="470"/>
      <c r="BQ22" s="533"/>
      <c r="BR22" s="104" t="s">
        <v>352</v>
      </c>
      <c r="BS22" s="104" t="s">
        <v>388</v>
      </c>
      <c r="BT22" s="452"/>
      <c r="BU22" s="293"/>
      <c r="BV22" s="452"/>
      <c r="BW22" s="347"/>
      <c r="BX22" s="460"/>
      <c r="BY22" s="460"/>
      <c r="BZ22" s="452"/>
    </row>
    <row r="23" spans="1:78" s="116" customFormat="1" ht="34.5" customHeight="1">
      <c r="A23" s="432"/>
      <c r="B23" s="498"/>
      <c r="C23" s="432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230"/>
      <c r="P23" s="230"/>
      <c r="Q23" s="311"/>
      <c r="R23" s="230"/>
      <c r="S23" s="230"/>
      <c r="T23" s="320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89"/>
      <c r="AF23" s="89"/>
      <c r="AG23" s="61"/>
      <c r="AH23" s="61"/>
      <c r="AI23" s="447"/>
      <c r="AJ23" s="447"/>
      <c r="AK23" s="447"/>
      <c r="AL23" s="432"/>
      <c r="AM23" s="61"/>
      <c r="AN23" s="61"/>
      <c r="AO23" s="432"/>
      <c r="AP23" s="432"/>
      <c r="AQ23" s="61"/>
      <c r="AR23" s="61"/>
      <c r="AS23" s="432"/>
      <c r="AT23" s="447"/>
      <c r="AU23" s="61"/>
      <c r="AV23" s="61"/>
      <c r="AW23" s="61"/>
      <c r="AX23" s="272"/>
      <c r="AY23" s="458"/>
      <c r="AZ23" s="89"/>
      <c r="BA23" s="89"/>
      <c r="BB23" s="236"/>
      <c r="BC23" s="61"/>
      <c r="BD23" s="61"/>
      <c r="BE23" s="201"/>
      <c r="BF23" s="281"/>
      <c r="BG23" s="281"/>
      <c r="BH23" s="61"/>
      <c r="BI23" s="61"/>
      <c r="BJ23" s="96"/>
      <c r="BK23" s="96"/>
      <c r="BL23" s="96"/>
      <c r="BM23" s="418"/>
      <c r="BN23" s="452"/>
      <c r="BO23" s="470"/>
      <c r="BP23" s="470"/>
      <c r="BQ23" s="533"/>
      <c r="BR23" s="104" t="s">
        <v>287</v>
      </c>
      <c r="BS23" s="104" t="s">
        <v>389</v>
      </c>
      <c r="BT23" s="452"/>
      <c r="BU23" s="293"/>
      <c r="BV23" s="452"/>
      <c r="BW23" s="347"/>
      <c r="BX23" s="460"/>
      <c r="BY23" s="460"/>
      <c r="BZ23" s="452"/>
    </row>
    <row r="24" spans="1:78" s="116" customFormat="1" ht="35.25" customHeight="1">
      <c r="A24" s="432"/>
      <c r="B24" s="498"/>
      <c r="C24" s="432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230"/>
      <c r="P24" s="230"/>
      <c r="Q24" s="311"/>
      <c r="R24" s="230"/>
      <c r="S24" s="230"/>
      <c r="T24" s="320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519"/>
      <c r="AJ24" s="519"/>
      <c r="AK24" s="519"/>
      <c r="AL24" s="432"/>
      <c r="AM24" s="61"/>
      <c r="AN24" s="61"/>
      <c r="AO24" s="432"/>
      <c r="AP24" s="429"/>
      <c r="AQ24" s="61"/>
      <c r="AR24" s="61"/>
      <c r="AS24" s="429"/>
      <c r="AT24" s="519"/>
      <c r="AU24" s="61"/>
      <c r="AV24" s="61"/>
      <c r="AW24" s="61"/>
      <c r="AX24" s="272"/>
      <c r="AY24" s="458"/>
      <c r="AZ24" s="61"/>
      <c r="BA24" s="61"/>
      <c r="BB24" s="201"/>
      <c r="BC24" s="61"/>
      <c r="BD24" s="61"/>
      <c r="BE24" s="200"/>
      <c r="BF24" s="280"/>
      <c r="BG24" s="280"/>
      <c r="BH24" s="61"/>
      <c r="BI24" s="61"/>
      <c r="BJ24" s="96"/>
      <c r="BK24" s="96"/>
      <c r="BL24" s="96"/>
      <c r="BM24" s="118"/>
      <c r="BN24" s="453"/>
      <c r="BO24" s="471"/>
      <c r="BP24" s="471"/>
      <c r="BQ24" s="488"/>
      <c r="BR24" s="134"/>
      <c r="BS24" s="134"/>
      <c r="BT24" s="453"/>
      <c r="BU24" s="292"/>
      <c r="BV24" s="453"/>
      <c r="BW24" s="343"/>
      <c r="BX24" s="461"/>
      <c r="BY24" s="461"/>
      <c r="BZ24" s="452"/>
    </row>
    <row r="25" spans="1:78" s="24" customFormat="1" ht="24.75" customHeight="1">
      <c r="A25" s="433">
        <v>10</v>
      </c>
      <c r="B25" s="501" t="s">
        <v>13</v>
      </c>
      <c r="C25" s="433">
        <v>3469.3</v>
      </c>
      <c r="D25" s="35"/>
      <c r="E25" s="10"/>
      <c r="F25" s="35"/>
      <c r="G25" s="35" t="s">
        <v>199</v>
      </c>
      <c r="H25" s="10">
        <v>4</v>
      </c>
      <c r="I25" s="35" t="s">
        <v>212</v>
      </c>
      <c r="J25" s="35" t="s">
        <v>216</v>
      </c>
      <c r="K25" s="10"/>
      <c r="L25" s="10"/>
      <c r="M25" s="10"/>
      <c r="N25" s="10"/>
      <c r="O25" s="35"/>
      <c r="P25" s="35"/>
      <c r="Q25" s="35"/>
      <c r="R25" s="35"/>
      <c r="S25" s="35"/>
      <c r="T25" s="35"/>
      <c r="U25" s="10"/>
      <c r="V25" s="10"/>
      <c r="W25" s="35" t="s">
        <v>242</v>
      </c>
      <c r="X25" s="10"/>
      <c r="Y25" s="10"/>
      <c r="Z25" s="10">
        <v>64</v>
      </c>
      <c r="AA25" s="35" t="s">
        <v>242</v>
      </c>
      <c r="AB25" s="10">
        <v>3</v>
      </c>
      <c r="AC25" s="35" t="s">
        <v>313</v>
      </c>
      <c r="AD25" s="10"/>
      <c r="AE25" s="35"/>
      <c r="AF25" s="35"/>
      <c r="AG25" s="10"/>
      <c r="AH25" s="10"/>
      <c r="AI25" s="433"/>
      <c r="AJ25" s="433"/>
      <c r="AK25" s="469"/>
      <c r="AL25" s="469"/>
      <c r="AM25" s="10"/>
      <c r="AN25" s="10"/>
      <c r="AO25" s="467" t="s">
        <v>248</v>
      </c>
      <c r="AP25" s="433"/>
      <c r="AQ25" s="10"/>
      <c r="AR25" s="10"/>
      <c r="AS25" s="433"/>
      <c r="AT25" s="469"/>
      <c r="AU25" s="35" t="s">
        <v>202</v>
      </c>
      <c r="AV25" s="35" t="s">
        <v>199</v>
      </c>
      <c r="AW25" s="10">
        <v>3</v>
      </c>
      <c r="AX25" s="35" t="s">
        <v>216</v>
      </c>
      <c r="AY25" s="469" t="s">
        <v>248</v>
      </c>
      <c r="AZ25" s="35" t="s">
        <v>199</v>
      </c>
      <c r="BA25" s="10">
        <v>3</v>
      </c>
      <c r="BB25" s="35" t="s">
        <v>367</v>
      </c>
      <c r="BC25" s="10"/>
      <c r="BD25" s="10"/>
      <c r="BE25" s="35"/>
      <c r="BF25" s="35"/>
      <c r="BG25" s="35"/>
      <c r="BH25" s="35"/>
      <c r="BI25" s="10"/>
      <c r="BJ25" s="106"/>
      <c r="BK25" s="40"/>
      <c r="BL25" s="40"/>
      <c r="BM25" s="448" t="s">
        <v>416</v>
      </c>
      <c r="BN25" s="448" t="s">
        <v>291</v>
      </c>
      <c r="BO25" s="448"/>
      <c r="BP25" s="112"/>
      <c r="BQ25" s="529" t="s">
        <v>248</v>
      </c>
      <c r="BR25" s="106"/>
      <c r="BS25" s="106"/>
      <c r="BT25" s="330"/>
      <c r="BU25" s="405"/>
      <c r="BV25" s="529" t="s">
        <v>248</v>
      </c>
      <c r="BW25" s="348"/>
      <c r="BX25" s="448"/>
      <c r="BY25" s="448"/>
      <c r="BZ25" s="448"/>
    </row>
    <row r="26" spans="1:78" s="24" customFormat="1" ht="12" customHeight="1">
      <c r="A26" s="434"/>
      <c r="B26" s="501"/>
      <c r="C26" s="434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35"/>
      <c r="P26" s="35"/>
      <c r="Q26" s="35"/>
      <c r="R26" s="35"/>
      <c r="S26" s="35"/>
      <c r="T26" s="35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434"/>
      <c r="AJ26" s="434"/>
      <c r="AK26" s="434"/>
      <c r="AL26" s="434"/>
      <c r="AM26" s="10"/>
      <c r="AN26" s="10"/>
      <c r="AO26" s="467"/>
      <c r="AP26" s="434"/>
      <c r="AQ26" s="10"/>
      <c r="AR26" s="10"/>
      <c r="AS26" s="434"/>
      <c r="AT26" s="434"/>
      <c r="AU26" s="35" t="s">
        <v>202</v>
      </c>
      <c r="AV26" s="35" t="s">
        <v>199</v>
      </c>
      <c r="AW26" s="10">
        <v>3</v>
      </c>
      <c r="AX26" s="35" t="s">
        <v>217</v>
      </c>
      <c r="AY26" s="472"/>
      <c r="AZ26" s="35" t="s">
        <v>199</v>
      </c>
      <c r="BA26" s="10">
        <v>8</v>
      </c>
      <c r="BB26" s="35" t="s">
        <v>401</v>
      </c>
      <c r="BC26" s="10"/>
      <c r="BD26" s="10"/>
      <c r="BE26" s="35"/>
      <c r="BF26" s="35"/>
      <c r="BG26" s="35"/>
      <c r="BH26" s="10"/>
      <c r="BI26" s="10"/>
      <c r="BJ26" s="40"/>
      <c r="BK26" s="40"/>
      <c r="BL26" s="40"/>
      <c r="BM26" s="449"/>
      <c r="BN26" s="449"/>
      <c r="BO26" s="449"/>
      <c r="BP26" s="370"/>
      <c r="BQ26" s="534"/>
      <c r="BR26" s="106"/>
      <c r="BS26" s="106"/>
      <c r="BT26" s="325"/>
      <c r="BU26" s="406"/>
      <c r="BV26" s="534"/>
      <c r="BW26" s="349"/>
      <c r="BX26" s="449"/>
      <c r="BY26" s="449"/>
      <c r="BZ26" s="474"/>
    </row>
    <row r="27" spans="1:78" s="24" customFormat="1" ht="12" customHeight="1">
      <c r="A27" s="434"/>
      <c r="B27" s="501"/>
      <c r="C27" s="434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34"/>
      <c r="P27" s="34"/>
      <c r="Q27" s="34"/>
      <c r="R27" s="34"/>
      <c r="S27" s="34"/>
      <c r="T27" s="34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434"/>
      <c r="AJ27" s="434"/>
      <c r="AK27" s="434"/>
      <c r="AL27" s="434"/>
      <c r="AM27" s="10"/>
      <c r="AN27" s="10"/>
      <c r="AO27" s="467"/>
      <c r="AP27" s="434"/>
      <c r="AQ27" s="10"/>
      <c r="AR27" s="10"/>
      <c r="AS27" s="434"/>
      <c r="AT27" s="434"/>
      <c r="AU27" s="35"/>
      <c r="AV27" s="35"/>
      <c r="AW27" s="10"/>
      <c r="AX27" s="10"/>
      <c r="AY27" s="472"/>
      <c r="AZ27" s="35" t="s">
        <v>199</v>
      </c>
      <c r="BA27" s="10">
        <v>4</v>
      </c>
      <c r="BB27" s="35" t="s">
        <v>406</v>
      </c>
      <c r="BC27" s="10"/>
      <c r="BD27" s="10"/>
      <c r="BE27" s="35"/>
      <c r="BF27" s="35"/>
      <c r="BG27" s="35"/>
      <c r="BH27" s="10"/>
      <c r="BI27" s="10"/>
      <c r="BJ27" s="40"/>
      <c r="BK27" s="40"/>
      <c r="BL27" s="40"/>
      <c r="BM27" s="449"/>
      <c r="BN27" s="449"/>
      <c r="BO27" s="449"/>
      <c r="BP27" s="370"/>
      <c r="BQ27" s="534"/>
      <c r="BR27" s="106"/>
      <c r="BS27" s="106"/>
      <c r="BT27" s="325"/>
      <c r="BU27" s="406"/>
      <c r="BV27" s="534"/>
      <c r="BW27" s="349"/>
      <c r="BX27" s="449"/>
      <c r="BY27" s="449"/>
      <c r="BZ27" s="474"/>
    </row>
    <row r="28" spans="1:78" s="24" customFormat="1" ht="12" customHeight="1">
      <c r="A28" s="435"/>
      <c r="B28" s="501"/>
      <c r="C28" s="435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208"/>
      <c r="P28" s="208"/>
      <c r="Q28" s="208"/>
      <c r="R28" s="208"/>
      <c r="S28" s="208"/>
      <c r="T28" s="208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435"/>
      <c r="AJ28" s="435"/>
      <c r="AK28" s="435"/>
      <c r="AL28" s="435"/>
      <c r="AM28" s="10"/>
      <c r="AN28" s="10"/>
      <c r="AO28" s="468"/>
      <c r="AP28" s="435"/>
      <c r="AQ28" s="10"/>
      <c r="AR28" s="10"/>
      <c r="AS28" s="435"/>
      <c r="AT28" s="435"/>
      <c r="AU28" s="10"/>
      <c r="AV28" s="10"/>
      <c r="AW28" s="10"/>
      <c r="AX28" s="10"/>
      <c r="AY28" s="478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40"/>
      <c r="BK28" s="40"/>
      <c r="BL28" s="40"/>
      <c r="BM28" s="450"/>
      <c r="BN28" s="450"/>
      <c r="BO28" s="450"/>
      <c r="BP28" s="371"/>
      <c r="BQ28" s="530"/>
      <c r="BR28" s="403"/>
      <c r="BS28" s="403"/>
      <c r="BT28" s="325"/>
      <c r="BU28" s="407"/>
      <c r="BV28" s="530"/>
      <c r="BW28" s="341"/>
      <c r="BX28" s="450"/>
      <c r="BY28" s="450"/>
      <c r="BZ28" s="450"/>
    </row>
    <row r="29" spans="1:78" s="116" customFormat="1" ht="24.75" customHeight="1">
      <c r="A29" s="428">
        <v>11</v>
      </c>
      <c r="B29" s="498" t="s">
        <v>14</v>
      </c>
      <c r="C29" s="428">
        <v>4256.6</v>
      </c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230"/>
      <c r="P29" s="230"/>
      <c r="Q29" s="311"/>
      <c r="R29" s="230"/>
      <c r="S29" s="230" t="s">
        <v>242</v>
      </c>
      <c r="T29" s="320"/>
      <c r="U29" s="61"/>
      <c r="V29" s="61"/>
      <c r="W29" s="89" t="s">
        <v>413</v>
      </c>
      <c r="X29" s="61"/>
      <c r="Y29" s="61"/>
      <c r="Z29" s="61">
        <v>40</v>
      </c>
      <c r="AA29" s="89" t="s">
        <v>413</v>
      </c>
      <c r="AB29" s="61"/>
      <c r="AC29" s="61"/>
      <c r="AD29" s="61"/>
      <c r="AE29" s="89">
        <v>1289.8</v>
      </c>
      <c r="AF29" s="89" t="s">
        <v>242</v>
      </c>
      <c r="AG29" s="89">
        <v>7.2</v>
      </c>
      <c r="AH29" s="89" t="s">
        <v>240</v>
      </c>
      <c r="AI29" s="428"/>
      <c r="AJ29" s="428"/>
      <c r="AK29" s="457"/>
      <c r="AL29" s="457"/>
      <c r="AM29" s="61"/>
      <c r="AN29" s="61"/>
      <c r="AO29" s="457" t="s">
        <v>248</v>
      </c>
      <c r="AP29" s="428"/>
      <c r="AQ29" s="89"/>
      <c r="AR29" s="61"/>
      <c r="AS29" s="428"/>
      <c r="AT29" s="457"/>
      <c r="AU29" s="89"/>
      <c r="AV29" s="89"/>
      <c r="AW29" s="61"/>
      <c r="AX29" s="71"/>
      <c r="AY29" s="457" t="s">
        <v>248</v>
      </c>
      <c r="AZ29" s="89"/>
      <c r="BA29" s="61"/>
      <c r="BB29" s="89"/>
      <c r="BC29" s="89" t="s">
        <v>197</v>
      </c>
      <c r="BD29" s="61">
        <v>10</v>
      </c>
      <c r="BE29" s="89" t="s">
        <v>205</v>
      </c>
      <c r="BF29" s="89"/>
      <c r="BG29" s="89"/>
      <c r="BH29" s="89"/>
      <c r="BI29" s="61"/>
      <c r="BJ29" s="104"/>
      <c r="BK29" s="96"/>
      <c r="BL29" s="96"/>
      <c r="BM29" s="417"/>
      <c r="BN29" s="459"/>
      <c r="BO29" s="451"/>
      <c r="BP29" s="220"/>
      <c r="BQ29" s="487" t="s">
        <v>248</v>
      </c>
      <c r="BR29" s="104" t="s">
        <v>324</v>
      </c>
      <c r="BS29" s="104" t="s">
        <v>325</v>
      </c>
      <c r="BT29" s="331"/>
      <c r="BU29" s="331"/>
      <c r="BV29" s="259"/>
      <c r="BW29" s="350"/>
      <c r="BX29" s="522"/>
      <c r="BY29" s="522"/>
      <c r="BZ29" s="451"/>
    </row>
    <row r="30" spans="1:78" s="116" customFormat="1" ht="12" customHeight="1">
      <c r="A30" s="432"/>
      <c r="B30" s="498"/>
      <c r="C30" s="432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204"/>
      <c r="P30" s="204"/>
      <c r="Q30" s="204"/>
      <c r="R30" s="204"/>
      <c r="S30" s="204"/>
      <c r="T30" s="204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89"/>
      <c r="AG30" s="89"/>
      <c r="AH30" s="89"/>
      <c r="AI30" s="432"/>
      <c r="AJ30" s="432"/>
      <c r="AK30" s="432"/>
      <c r="AL30" s="432"/>
      <c r="AM30" s="61"/>
      <c r="AN30" s="61"/>
      <c r="AO30" s="432"/>
      <c r="AP30" s="432"/>
      <c r="AQ30" s="89"/>
      <c r="AR30" s="61"/>
      <c r="AS30" s="432"/>
      <c r="AT30" s="432"/>
      <c r="AU30" s="61"/>
      <c r="AV30" s="61"/>
      <c r="AW30" s="61"/>
      <c r="AX30" s="272"/>
      <c r="AY30" s="458"/>
      <c r="AZ30" s="89"/>
      <c r="BA30" s="61"/>
      <c r="BB30" s="89"/>
      <c r="BC30" s="89" t="s">
        <v>197</v>
      </c>
      <c r="BD30" s="61">
        <v>2</v>
      </c>
      <c r="BE30" s="89" t="s">
        <v>299</v>
      </c>
      <c r="BF30" s="89"/>
      <c r="BG30" s="89"/>
      <c r="BH30" s="61"/>
      <c r="BI30" s="61"/>
      <c r="BJ30" s="96"/>
      <c r="BK30" s="96"/>
      <c r="BL30" s="96"/>
      <c r="BM30" s="418"/>
      <c r="BN30" s="460"/>
      <c r="BO30" s="452"/>
      <c r="BP30" s="293"/>
      <c r="BQ30" s="533"/>
      <c r="BR30" s="104" t="s">
        <v>326</v>
      </c>
      <c r="BS30" s="104" t="s">
        <v>327</v>
      </c>
      <c r="BT30" s="326"/>
      <c r="BU30" s="326"/>
      <c r="BV30" s="96"/>
      <c r="BW30" s="347"/>
      <c r="BX30" s="523"/>
      <c r="BY30" s="523"/>
      <c r="BZ30" s="452"/>
    </row>
    <row r="31" spans="1:78" s="116" customFormat="1" ht="24.75" customHeight="1">
      <c r="A31" s="432"/>
      <c r="B31" s="498"/>
      <c r="C31" s="432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204"/>
      <c r="P31" s="204"/>
      <c r="Q31" s="204"/>
      <c r="R31" s="204"/>
      <c r="S31" s="204"/>
      <c r="T31" s="204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89"/>
      <c r="AF31" s="89"/>
      <c r="AG31" s="89"/>
      <c r="AH31" s="89"/>
      <c r="AI31" s="432"/>
      <c r="AJ31" s="432"/>
      <c r="AK31" s="432"/>
      <c r="AL31" s="432"/>
      <c r="AM31" s="61"/>
      <c r="AN31" s="61"/>
      <c r="AO31" s="432"/>
      <c r="AP31" s="432"/>
      <c r="AQ31" s="89"/>
      <c r="AR31" s="61"/>
      <c r="AS31" s="432"/>
      <c r="AT31" s="432"/>
      <c r="AU31" s="61"/>
      <c r="AV31" s="61"/>
      <c r="AW31" s="61"/>
      <c r="AX31" s="272"/>
      <c r="AY31" s="458"/>
      <c r="AZ31" s="61"/>
      <c r="BA31" s="61"/>
      <c r="BB31" s="72"/>
      <c r="BC31" s="89"/>
      <c r="BD31" s="61"/>
      <c r="BE31" s="89"/>
      <c r="BF31" s="89"/>
      <c r="BG31" s="89"/>
      <c r="BH31" s="61"/>
      <c r="BI31" s="61"/>
      <c r="BJ31" s="96"/>
      <c r="BK31" s="96"/>
      <c r="BL31" s="96"/>
      <c r="BM31" s="418"/>
      <c r="BN31" s="460"/>
      <c r="BO31" s="452"/>
      <c r="BP31" s="293"/>
      <c r="BQ31" s="533"/>
      <c r="BR31" s="261" t="s">
        <v>329</v>
      </c>
      <c r="BS31" s="104" t="s">
        <v>328</v>
      </c>
      <c r="BT31" s="326"/>
      <c r="BU31" s="326"/>
      <c r="BV31" s="96"/>
      <c r="BW31" s="347"/>
      <c r="BX31" s="523"/>
      <c r="BY31" s="523"/>
      <c r="BZ31" s="452"/>
    </row>
    <row r="32" spans="1:78" s="116" customFormat="1" ht="48" customHeight="1">
      <c r="A32" s="429"/>
      <c r="B32" s="498"/>
      <c r="C32" s="429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230"/>
      <c r="P32" s="230"/>
      <c r="Q32" s="311"/>
      <c r="R32" s="230"/>
      <c r="S32" s="230"/>
      <c r="T32" s="320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429"/>
      <c r="AJ32" s="429"/>
      <c r="AK32" s="429"/>
      <c r="AL32" s="429"/>
      <c r="AM32" s="61"/>
      <c r="AN32" s="89"/>
      <c r="AO32" s="429"/>
      <c r="AP32" s="429"/>
      <c r="AQ32" s="89"/>
      <c r="AR32" s="61"/>
      <c r="AS32" s="429"/>
      <c r="AT32" s="429"/>
      <c r="AU32" s="61"/>
      <c r="AV32" s="61"/>
      <c r="AW32" s="61"/>
      <c r="AX32" s="72"/>
      <c r="AY32" s="473"/>
      <c r="AZ32" s="89"/>
      <c r="BA32" s="89"/>
      <c r="BB32" s="89"/>
      <c r="BC32" s="89"/>
      <c r="BD32" s="61"/>
      <c r="BE32" s="89"/>
      <c r="BF32" s="89"/>
      <c r="BG32" s="89"/>
      <c r="BH32" s="61"/>
      <c r="BI32" s="61"/>
      <c r="BJ32" s="96"/>
      <c r="BK32" s="96"/>
      <c r="BL32" s="96"/>
      <c r="BM32" s="118"/>
      <c r="BN32" s="461"/>
      <c r="BO32" s="453"/>
      <c r="BP32" s="292"/>
      <c r="BQ32" s="488"/>
      <c r="BR32" s="134"/>
      <c r="BS32" s="134"/>
      <c r="BT32" s="326"/>
      <c r="BU32" s="326"/>
      <c r="BV32" s="96"/>
      <c r="BW32" s="343"/>
      <c r="BX32" s="524"/>
      <c r="BY32" s="524"/>
      <c r="BZ32" s="453"/>
    </row>
    <row r="33" spans="1:78" s="24" customFormat="1" ht="27.75" customHeight="1">
      <c r="A33" s="433">
        <v>12</v>
      </c>
      <c r="B33" s="443" t="s">
        <v>15</v>
      </c>
      <c r="C33" s="433">
        <v>1892.55</v>
      </c>
      <c r="D33" s="35"/>
      <c r="E33" s="10"/>
      <c r="F33" s="10"/>
      <c r="G33" s="10"/>
      <c r="H33" s="10"/>
      <c r="I33" s="10"/>
      <c r="J33" s="10"/>
      <c r="K33" s="10"/>
      <c r="L33" s="10"/>
      <c r="M33" s="10"/>
      <c r="N33" s="35" t="s">
        <v>219</v>
      </c>
      <c r="O33" s="35">
        <v>0.84</v>
      </c>
      <c r="P33" s="35">
        <v>3.6</v>
      </c>
      <c r="Q33" s="35" t="s">
        <v>227</v>
      </c>
      <c r="R33" s="35"/>
      <c r="S33" s="35"/>
      <c r="T33" s="35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35"/>
      <c r="AG33" s="35"/>
      <c r="AH33" s="35"/>
      <c r="AI33" s="10"/>
      <c r="AJ33" s="10"/>
      <c r="AK33" s="57"/>
      <c r="AL33" s="56"/>
      <c r="AM33" s="57"/>
      <c r="AN33" s="10"/>
      <c r="AO33" s="469" t="s">
        <v>248</v>
      </c>
      <c r="AP33" s="10"/>
      <c r="AQ33" s="35"/>
      <c r="AR33" s="10"/>
      <c r="AS33" s="10"/>
      <c r="AT33" s="35"/>
      <c r="AU33" s="105" t="s">
        <v>212</v>
      </c>
      <c r="AV33" s="35" t="s">
        <v>243</v>
      </c>
      <c r="AW33" s="10">
        <v>6</v>
      </c>
      <c r="AX33" s="56" t="s">
        <v>215</v>
      </c>
      <c r="AY33" s="469" t="s">
        <v>248</v>
      </c>
      <c r="AZ33" s="35"/>
      <c r="BA33" s="10"/>
      <c r="BB33" s="35"/>
      <c r="BC33" s="35" t="s">
        <v>206</v>
      </c>
      <c r="BD33" s="10">
        <v>1</v>
      </c>
      <c r="BE33" s="35" t="s">
        <v>220</v>
      </c>
      <c r="BF33" s="35">
        <v>2</v>
      </c>
      <c r="BG33" s="35" t="s">
        <v>236</v>
      </c>
      <c r="BH33" s="10"/>
      <c r="BI33" s="10"/>
      <c r="BJ33" s="40"/>
      <c r="BK33" s="40"/>
      <c r="BL33" s="40"/>
      <c r="BM33" s="77"/>
      <c r="BN33" s="202"/>
      <c r="BO33" s="112"/>
      <c r="BP33" s="448" t="s">
        <v>248</v>
      </c>
      <c r="BQ33" s="529" t="s">
        <v>248</v>
      </c>
      <c r="BR33" s="106"/>
      <c r="BS33" s="106"/>
      <c r="BT33" s="325"/>
      <c r="BU33" s="325"/>
      <c r="BV33" s="40"/>
      <c r="BW33" s="351"/>
      <c r="BX33" s="40"/>
      <c r="BY33" s="77"/>
      <c r="BZ33" s="112"/>
    </row>
    <row r="34" spans="1:78" s="24" customFormat="1" ht="27.75" customHeight="1">
      <c r="A34" s="434"/>
      <c r="B34" s="444"/>
      <c r="C34" s="434"/>
      <c r="D34" s="35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35"/>
      <c r="P34" s="35"/>
      <c r="Q34" s="35"/>
      <c r="R34" s="35"/>
      <c r="S34" s="35"/>
      <c r="T34" s="35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35"/>
      <c r="AG34" s="35"/>
      <c r="AH34" s="35"/>
      <c r="AI34" s="57"/>
      <c r="AJ34" s="57"/>
      <c r="AK34" s="57"/>
      <c r="AL34" s="56"/>
      <c r="AM34" s="57"/>
      <c r="AN34" s="10"/>
      <c r="AO34" s="472"/>
      <c r="AP34" s="57"/>
      <c r="AQ34" s="35"/>
      <c r="AR34" s="10"/>
      <c r="AS34" s="57"/>
      <c r="AT34" s="56"/>
      <c r="AU34" s="105"/>
      <c r="AV34" s="35"/>
      <c r="AW34" s="10"/>
      <c r="AX34" s="57"/>
      <c r="AY34" s="472"/>
      <c r="AZ34" s="35"/>
      <c r="BA34" s="10"/>
      <c r="BB34" s="35"/>
      <c r="BC34" s="35" t="s">
        <v>197</v>
      </c>
      <c r="BD34" s="10">
        <v>4.7</v>
      </c>
      <c r="BE34" s="35" t="s">
        <v>233</v>
      </c>
      <c r="BF34" s="35">
        <v>2</v>
      </c>
      <c r="BG34" s="35" t="s">
        <v>235</v>
      </c>
      <c r="BH34" s="10"/>
      <c r="BI34" s="10"/>
      <c r="BJ34" s="40"/>
      <c r="BK34" s="40"/>
      <c r="BL34" s="40"/>
      <c r="BM34" s="77"/>
      <c r="BN34" s="202"/>
      <c r="BO34" s="112"/>
      <c r="BP34" s="474"/>
      <c r="BQ34" s="534"/>
      <c r="BR34" s="106"/>
      <c r="BS34" s="106"/>
      <c r="BT34" s="325"/>
      <c r="BU34" s="325"/>
      <c r="BV34" s="40"/>
      <c r="BW34" s="340"/>
      <c r="BX34" s="77"/>
      <c r="BY34" s="77"/>
      <c r="BZ34" s="112"/>
    </row>
    <row r="35" spans="1:78" s="24" customFormat="1" ht="27.75" customHeight="1">
      <c r="A35" s="434"/>
      <c r="B35" s="444"/>
      <c r="C35" s="434"/>
      <c r="D35" s="35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35"/>
      <c r="P35" s="35"/>
      <c r="Q35" s="35"/>
      <c r="R35" s="35"/>
      <c r="S35" s="35"/>
      <c r="T35" s="35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35"/>
      <c r="AG35" s="35"/>
      <c r="AH35" s="35"/>
      <c r="AI35" s="57"/>
      <c r="AJ35" s="57"/>
      <c r="AK35" s="57"/>
      <c r="AL35" s="56"/>
      <c r="AM35" s="57"/>
      <c r="AN35" s="10"/>
      <c r="AO35" s="472"/>
      <c r="AP35" s="57"/>
      <c r="AQ35" s="35"/>
      <c r="AR35" s="10"/>
      <c r="AS35" s="57"/>
      <c r="AT35" s="56"/>
      <c r="AU35" s="105"/>
      <c r="AV35" s="35"/>
      <c r="AW35" s="10"/>
      <c r="AX35" s="57"/>
      <c r="AY35" s="472"/>
      <c r="AZ35" s="35"/>
      <c r="BA35" s="10"/>
      <c r="BB35" s="35"/>
      <c r="BC35" s="35" t="s">
        <v>206</v>
      </c>
      <c r="BD35" s="10">
        <v>8.7</v>
      </c>
      <c r="BE35" s="35" t="s">
        <v>232</v>
      </c>
      <c r="BF35" s="35"/>
      <c r="BG35" s="35"/>
      <c r="BH35" s="10"/>
      <c r="BI35" s="10"/>
      <c r="BJ35" s="40"/>
      <c r="BK35" s="40"/>
      <c r="BL35" s="40"/>
      <c r="BM35" s="77"/>
      <c r="BN35" s="202"/>
      <c r="BO35" s="112"/>
      <c r="BP35" s="474"/>
      <c r="BQ35" s="534"/>
      <c r="BR35" s="106"/>
      <c r="BS35" s="106"/>
      <c r="BT35" s="325"/>
      <c r="BU35" s="325"/>
      <c r="BV35" s="40"/>
      <c r="BW35" s="340"/>
      <c r="BX35" s="77"/>
      <c r="BY35" s="77"/>
      <c r="BZ35" s="112"/>
    </row>
    <row r="36" spans="1:78" s="24" customFormat="1" ht="27.75" customHeight="1">
      <c r="A36" s="434"/>
      <c r="B36" s="444"/>
      <c r="C36" s="434"/>
      <c r="D36" s="35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35"/>
      <c r="P36" s="35"/>
      <c r="Q36" s="35"/>
      <c r="R36" s="35"/>
      <c r="S36" s="35"/>
      <c r="T36" s="35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35"/>
      <c r="AG36" s="35"/>
      <c r="AH36" s="35"/>
      <c r="AI36" s="57"/>
      <c r="AJ36" s="57"/>
      <c r="AK36" s="57"/>
      <c r="AL36" s="56"/>
      <c r="AM36" s="57"/>
      <c r="AN36" s="10"/>
      <c r="AO36" s="472"/>
      <c r="AP36" s="57"/>
      <c r="AQ36" s="35"/>
      <c r="AR36" s="10"/>
      <c r="AS36" s="57"/>
      <c r="AT36" s="56"/>
      <c r="AU36" s="105"/>
      <c r="AV36" s="35"/>
      <c r="AW36" s="10"/>
      <c r="AX36" s="57"/>
      <c r="AY36" s="472"/>
      <c r="AZ36" s="35"/>
      <c r="BA36" s="10"/>
      <c r="BB36" s="35"/>
      <c r="BC36" s="35" t="s">
        <v>206</v>
      </c>
      <c r="BD36" s="10">
        <v>14</v>
      </c>
      <c r="BE36" s="35" t="s">
        <v>244</v>
      </c>
      <c r="BF36" s="35"/>
      <c r="BG36" s="35"/>
      <c r="BH36" s="10"/>
      <c r="BI36" s="10"/>
      <c r="BJ36" s="40"/>
      <c r="BK36" s="40"/>
      <c r="BL36" s="40"/>
      <c r="BM36" s="77"/>
      <c r="BN36" s="202"/>
      <c r="BO36" s="112"/>
      <c r="BP36" s="474"/>
      <c r="BQ36" s="534"/>
      <c r="BR36" s="106"/>
      <c r="BS36" s="106"/>
      <c r="BT36" s="325"/>
      <c r="BU36" s="325"/>
      <c r="BV36" s="40"/>
      <c r="BW36" s="340"/>
      <c r="BX36" s="77"/>
      <c r="BY36" s="77"/>
      <c r="BZ36" s="112"/>
    </row>
    <row r="37" spans="1:78" s="24" customFormat="1" ht="27.75" customHeight="1">
      <c r="A37" s="434"/>
      <c r="B37" s="444"/>
      <c r="C37" s="434"/>
      <c r="D37" s="35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35"/>
      <c r="P37" s="35"/>
      <c r="Q37" s="35"/>
      <c r="R37" s="35"/>
      <c r="S37" s="35"/>
      <c r="T37" s="35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35"/>
      <c r="AG37" s="35"/>
      <c r="AH37" s="35"/>
      <c r="AI37" s="57"/>
      <c r="AJ37" s="57"/>
      <c r="AK37" s="57"/>
      <c r="AL37" s="56"/>
      <c r="AM37" s="57"/>
      <c r="AN37" s="10"/>
      <c r="AO37" s="472"/>
      <c r="AP37" s="57"/>
      <c r="AQ37" s="35"/>
      <c r="AR37" s="10"/>
      <c r="AS37" s="57"/>
      <c r="AT37" s="56"/>
      <c r="AU37" s="105"/>
      <c r="AV37" s="35"/>
      <c r="AW37" s="10"/>
      <c r="AX37" s="57"/>
      <c r="AY37" s="472"/>
      <c r="AZ37" s="35"/>
      <c r="BA37" s="10"/>
      <c r="BB37" s="35"/>
      <c r="BC37" s="35" t="s">
        <v>197</v>
      </c>
      <c r="BD37" s="10">
        <v>4</v>
      </c>
      <c r="BE37" s="35" t="s">
        <v>244</v>
      </c>
      <c r="BF37" s="35"/>
      <c r="BG37" s="35"/>
      <c r="BH37" s="10"/>
      <c r="BI37" s="10"/>
      <c r="BJ37" s="40"/>
      <c r="BK37" s="40"/>
      <c r="BL37" s="40"/>
      <c r="BM37" s="77"/>
      <c r="BN37" s="202"/>
      <c r="BO37" s="112"/>
      <c r="BP37" s="474"/>
      <c r="BQ37" s="534"/>
      <c r="BR37" s="106"/>
      <c r="BS37" s="106"/>
      <c r="BT37" s="325"/>
      <c r="BU37" s="325"/>
      <c r="BV37" s="40"/>
      <c r="BW37" s="340"/>
      <c r="BX37" s="77"/>
      <c r="BY37" s="77"/>
      <c r="BZ37" s="112"/>
    </row>
    <row r="38" spans="1:78" s="24" customFormat="1" ht="27.75" customHeight="1">
      <c r="A38" s="434"/>
      <c r="B38" s="444"/>
      <c r="C38" s="434"/>
      <c r="D38" s="35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35"/>
      <c r="P38" s="35"/>
      <c r="Q38" s="35"/>
      <c r="R38" s="35"/>
      <c r="S38" s="35"/>
      <c r="T38" s="35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35"/>
      <c r="AG38" s="35"/>
      <c r="AH38" s="35"/>
      <c r="AI38" s="57"/>
      <c r="AJ38" s="57"/>
      <c r="AK38" s="57"/>
      <c r="AL38" s="56"/>
      <c r="AM38" s="57"/>
      <c r="AN38" s="10"/>
      <c r="AO38" s="472"/>
      <c r="AP38" s="57"/>
      <c r="AQ38" s="35"/>
      <c r="AR38" s="10"/>
      <c r="AS38" s="57"/>
      <c r="AT38" s="56"/>
      <c r="AU38" s="105"/>
      <c r="AV38" s="35"/>
      <c r="AW38" s="10"/>
      <c r="AX38" s="57"/>
      <c r="AY38" s="472"/>
      <c r="AZ38" s="35"/>
      <c r="BA38" s="10"/>
      <c r="BB38" s="35"/>
      <c r="BC38" s="35" t="s">
        <v>197</v>
      </c>
      <c r="BD38" s="10">
        <v>3</v>
      </c>
      <c r="BE38" s="35" t="s">
        <v>358</v>
      </c>
      <c r="BF38" s="35"/>
      <c r="BG38" s="35"/>
      <c r="BH38" s="10"/>
      <c r="BI38" s="10"/>
      <c r="BJ38" s="40"/>
      <c r="BK38" s="40"/>
      <c r="BL38" s="40"/>
      <c r="BM38" s="77"/>
      <c r="BN38" s="202"/>
      <c r="BO38" s="112"/>
      <c r="BP38" s="474"/>
      <c r="BQ38" s="534"/>
      <c r="BR38" s="106"/>
      <c r="BS38" s="106"/>
      <c r="BT38" s="325"/>
      <c r="BU38" s="325"/>
      <c r="BV38" s="40"/>
      <c r="BW38" s="340"/>
      <c r="BX38" s="77"/>
      <c r="BY38" s="77"/>
      <c r="BZ38" s="112"/>
    </row>
    <row r="39" spans="1:78" s="24" customFormat="1" ht="27.75" customHeight="1">
      <c r="A39" s="435"/>
      <c r="B39" s="506"/>
      <c r="C39" s="435"/>
      <c r="D39" s="35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35"/>
      <c r="P39" s="35"/>
      <c r="Q39" s="35"/>
      <c r="R39" s="35"/>
      <c r="S39" s="35"/>
      <c r="T39" s="35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35"/>
      <c r="AG39" s="35"/>
      <c r="AH39" s="35"/>
      <c r="AI39" s="57"/>
      <c r="AJ39" s="57"/>
      <c r="AK39" s="57"/>
      <c r="AL39" s="56"/>
      <c r="AM39" s="57"/>
      <c r="AN39" s="10"/>
      <c r="AO39" s="478"/>
      <c r="AP39" s="57"/>
      <c r="AQ39" s="35"/>
      <c r="AR39" s="10"/>
      <c r="AS39" s="57"/>
      <c r="AT39" s="56"/>
      <c r="AU39" s="105"/>
      <c r="AV39" s="35"/>
      <c r="AW39" s="10"/>
      <c r="AX39" s="57"/>
      <c r="AY39" s="478"/>
      <c r="AZ39" s="35"/>
      <c r="BA39" s="10"/>
      <c r="BB39" s="35"/>
      <c r="BC39" s="35"/>
      <c r="BD39" s="10"/>
      <c r="BE39" s="35"/>
      <c r="BF39" s="35"/>
      <c r="BG39" s="35"/>
      <c r="BH39" s="10"/>
      <c r="BI39" s="10"/>
      <c r="BJ39" s="40"/>
      <c r="BK39" s="40"/>
      <c r="BL39" s="40"/>
      <c r="BM39" s="77"/>
      <c r="BN39" s="202"/>
      <c r="BO39" s="112"/>
      <c r="BP39" s="475"/>
      <c r="BQ39" s="530"/>
      <c r="BR39" s="106"/>
      <c r="BS39" s="106"/>
      <c r="BT39" s="325"/>
      <c r="BU39" s="325"/>
      <c r="BV39" s="40"/>
      <c r="BW39" s="340"/>
      <c r="BX39" s="77"/>
      <c r="BY39" s="77"/>
      <c r="BZ39" s="112"/>
    </row>
    <row r="40" spans="1:78" s="116" customFormat="1" ht="24.75" customHeight="1">
      <c r="A40" s="428">
        <v>13</v>
      </c>
      <c r="B40" s="430" t="s">
        <v>16</v>
      </c>
      <c r="C40" s="428">
        <v>4290.7</v>
      </c>
      <c r="D40" s="89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230"/>
      <c r="P40" s="230"/>
      <c r="Q40" s="311"/>
      <c r="R40" s="230"/>
      <c r="S40" s="230"/>
      <c r="T40" s="320"/>
      <c r="U40" s="89"/>
      <c r="V40" s="61"/>
      <c r="W40" s="61"/>
      <c r="X40" s="61"/>
      <c r="Y40" s="61"/>
      <c r="Z40" s="61"/>
      <c r="AA40" s="61"/>
      <c r="AB40" s="61"/>
      <c r="AC40" s="61"/>
      <c r="AD40" s="61"/>
      <c r="AE40" s="89"/>
      <c r="AF40" s="89"/>
      <c r="AG40" s="89"/>
      <c r="AH40" s="89"/>
      <c r="AI40" s="428"/>
      <c r="AJ40" s="428"/>
      <c r="AK40" s="457"/>
      <c r="AL40" s="457"/>
      <c r="AM40" s="61"/>
      <c r="AN40" s="61"/>
      <c r="AO40" s="457" t="s">
        <v>248</v>
      </c>
      <c r="AP40" s="428"/>
      <c r="AQ40" s="89"/>
      <c r="AR40" s="61"/>
      <c r="AS40" s="428"/>
      <c r="AT40" s="457"/>
      <c r="AU40" s="61"/>
      <c r="AV40" s="61"/>
      <c r="AW40" s="61"/>
      <c r="AX40" s="71"/>
      <c r="AY40" s="457" t="s">
        <v>248</v>
      </c>
      <c r="AZ40" s="89" t="s">
        <v>199</v>
      </c>
      <c r="BA40" s="61">
        <v>2</v>
      </c>
      <c r="BB40" s="89" t="s">
        <v>279</v>
      </c>
      <c r="BC40" s="61"/>
      <c r="BD40" s="61"/>
      <c r="BE40" s="61"/>
      <c r="BF40" s="61"/>
      <c r="BG40" s="61"/>
      <c r="BH40" s="89"/>
      <c r="BI40" s="89"/>
      <c r="BJ40" s="97"/>
      <c r="BK40" s="97"/>
      <c r="BL40" s="97"/>
      <c r="BM40" s="415"/>
      <c r="BN40" s="451" t="s">
        <v>417</v>
      </c>
      <c r="BO40" s="451"/>
      <c r="BP40" s="220"/>
      <c r="BQ40" s="487" t="s">
        <v>248</v>
      </c>
      <c r="BR40" s="104"/>
      <c r="BS40" s="104"/>
      <c r="BT40" s="332"/>
      <c r="BU40" s="332"/>
      <c r="BV40" s="120"/>
      <c r="BW40" s="352"/>
      <c r="BX40" s="459"/>
      <c r="BY40" s="459"/>
      <c r="BZ40" s="451"/>
    </row>
    <row r="41" spans="1:78" s="116" customFormat="1" ht="26.25" customHeight="1">
      <c r="A41" s="432"/>
      <c r="B41" s="500"/>
      <c r="C41" s="432"/>
      <c r="D41" s="89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204"/>
      <c r="P41" s="204"/>
      <c r="Q41" s="204"/>
      <c r="R41" s="204"/>
      <c r="S41" s="204"/>
      <c r="T41" s="204"/>
      <c r="U41" s="89"/>
      <c r="V41" s="61"/>
      <c r="W41" s="61"/>
      <c r="X41" s="61"/>
      <c r="Y41" s="61"/>
      <c r="Z41" s="61"/>
      <c r="AA41" s="61"/>
      <c r="AB41" s="61"/>
      <c r="AC41" s="61"/>
      <c r="AD41" s="61"/>
      <c r="AE41" s="89"/>
      <c r="AF41" s="89"/>
      <c r="AG41" s="89"/>
      <c r="AH41" s="89"/>
      <c r="AI41" s="432"/>
      <c r="AJ41" s="432"/>
      <c r="AK41" s="432"/>
      <c r="AL41" s="432"/>
      <c r="AM41" s="61"/>
      <c r="AN41" s="61"/>
      <c r="AO41" s="432"/>
      <c r="AP41" s="432"/>
      <c r="AQ41" s="89"/>
      <c r="AR41" s="61"/>
      <c r="AS41" s="432"/>
      <c r="AT41" s="432"/>
      <c r="AU41" s="61"/>
      <c r="AV41" s="61"/>
      <c r="AW41" s="61"/>
      <c r="AX41" s="272"/>
      <c r="AY41" s="432"/>
      <c r="AZ41" s="61"/>
      <c r="BA41" s="61"/>
      <c r="BB41" s="61"/>
      <c r="BC41" s="89"/>
      <c r="BD41" s="61"/>
      <c r="BE41" s="89"/>
      <c r="BF41" s="89"/>
      <c r="BG41" s="89"/>
      <c r="BH41" s="61"/>
      <c r="BI41" s="61"/>
      <c r="BJ41" s="96"/>
      <c r="BK41" s="97"/>
      <c r="BL41" s="97"/>
      <c r="BM41" s="416"/>
      <c r="BN41" s="452"/>
      <c r="BO41" s="452"/>
      <c r="BP41" s="293"/>
      <c r="BQ41" s="533"/>
      <c r="BR41" s="104"/>
      <c r="BS41" s="104"/>
      <c r="BT41" s="332"/>
      <c r="BU41" s="332"/>
      <c r="BV41" s="120"/>
      <c r="BW41" s="353"/>
      <c r="BX41" s="460"/>
      <c r="BY41" s="460"/>
      <c r="BZ41" s="452"/>
    </row>
    <row r="42" spans="1:78" s="116" customFormat="1" ht="12" customHeight="1">
      <c r="A42" s="432"/>
      <c r="B42" s="500"/>
      <c r="C42" s="432"/>
      <c r="D42" s="89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204"/>
      <c r="P42" s="204"/>
      <c r="Q42" s="204"/>
      <c r="R42" s="204"/>
      <c r="S42" s="204"/>
      <c r="T42" s="204"/>
      <c r="U42" s="89"/>
      <c r="V42" s="61"/>
      <c r="W42" s="61"/>
      <c r="X42" s="61"/>
      <c r="Y42" s="61"/>
      <c r="Z42" s="61"/>
      <c r="AA42" s="61"/>
      <c r="AB42" s="61"/>
      <c r="AC42" s="61"/>
      <c r="AD42" s="61"/>
      <c r="AE42" s="89"/>
      <c r="AF42" s="89"/>
      <c r="AG42" s="61"/>
      <c r="AH42" s="61"/>
      <c r="AI42" s="432"/>
      <c r="AJ42" s="432"/>
      <c r="AK42" s="432"/>
      <c r="AL42" s="432"/>
      <c r="AM42" s="61"/>
      <c r="AN42" s="61"/>
      <c r="AO42" s="432"/>
      <c r="AP42" s="432"/>
      <c r="AQ42" s="89"/>
      <c r="AR42" s="61"/>
      <c r="AS42" s="432"/>
      <c r="AT42" s="432"/>
      <c r="AU42" s="61"/>
      <c r="AV42" s="61"/>
      <c r="AW42" s="61"/>
      <c r="AX42" s="272"/>
      <c r="AY42" s="432"/>
      <c r="AZ42" s="61"/>
      <c r="BA42" s="61"/>
      <c r="BB42" s="61"/>
      <c r="BC42" s="61"/>
      <c r="BD42" s="61"/>
      <c r="BE42" s="61"/>
      <c r="BF42" s="61"/>
      <c r="BG42" s="61"/>
      <c r="BH42" s="61"/>
      <c r="BI42" s="61"/>
      <c r="BJ42" s="96"/>
      <c r="BK42" s="97"/>
      <c r="BL42" s="97"/>
      <c r="BM42" s="416"/>
      <c r="BN42" s="452"/>
      <c r="BO42" s="452"/>
      <c r="BP42" s="293"/>
      <c r="BQ42" s="533"/>
      <c r="BR42" s="104"/>
      <c r="BS42" s="104"/>
      <c r="BT42" s="332"/>
      <c r="BU42" s="332"/>
      <c r="BV42" s="120"/>
      <c r="BW42" s="353"/>
      <c r="BX42" s="460"/>
      <c r="BY42" s="460"/>
      <c r="BZ42" s="452"/>
    </row>
    <row r="43" spans="1:78" s="116" customFormat="1" ht="34.5" customHeight="1">
      <c r="A43" s="429"/>
      <c r="B43" s="431"/>
      <c r="C43" s="429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204"/>
      <c r="P43" s="204"/>
      <c r="Q43" s="204"/>
      <c r="R43" s="204"/>
      <c r="S43" s="204"/>
      <c r="T43" s="204"/>
      <c r="U43" s="89"/>
      <c r="V43" s="61"/>
      <c r="W43" s="61"/>
      <c r="X43" s="61"/>
      <c r="Y43" s="61"/>
      <c r="Z43" s="61"/>
      <c r="AA43" s="61"/>
      <c r="AB43" s="61"/>
      <c r="AC43" s="61"/>
      <c r="AD43" s="61"/>
      <c r="AE43" s="89"/>
      <c r="AF43" s="89"/>
      <c r="AG43" s="89"/>
      <c r="AH43" s="89"/>
      <c r="AI43" s="429"/>
      <c r="AJ43" s="429"/>
      <c r="AK43" s="429"/>
      <c r="AL43" s="429"/>
      <c r="AM43" s="61"/>
      <c r="AN43" s="61"/>
      <c r="AO43" s="429"/>
      <c r="AP43" s="429"/>
      <c r="AQ43" s="61"/>
      <c r="AR43" s="61"/>
      <c r="AS43" s="429"/>
      <c r="AT43" s="429"/>
      <c r="AU43" s="61"/>
      <c r="AV43" s="61"/>
      <c r="AW43" s="61"/>
      <c r="AX43" s="72"/>
      <c r="AY43" s="429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96"/>
      <c r="BK43" s="96"/>
      <c r="BL43" s="96"/>
      <c r="BM43" s="118"/>
      <c r="BN43" s="453"/>
      <c r="BO43" s="453"/>
      <c r="BP43" s="292"/>
      <c r="BQ43" s="488"/>
      <c r="BR43" s="104"/>
      <c r="BS43" s="104"/>
      <c r="BT43" s="332"/>
      <c r="BU43" s="332"/>
      <c r="BV43" s="120"/>
      <c r="BW43" s="354"/>
      <c r="BX43" s="461"/>
      <c r="BY43" s="461"/>
      <c r="BZ43" s="453"/>
    </row>
    <row r="44" spans="1:78" s="24" customFormat="1" ht="24" customHeight="1">
      <c r="A44" s="433">
        <v>14</v>
      </c>
      <c r="B44" s="443" t="s">
        <v>17</v>
      </c>
      <c r="C44" s="433">
        <v>1239</v>
      </c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34"/>
      <c r="P44" s="34"/>
      <c r="Q44" s="34"/>
      <c r="R44" s="34"/>
      <c r="S44" s="34"/>
      <c r="T44" s="34"/>
      <c r="U44" s="10"/>
      <c r="V44" s="10"/>
      <c r="W44" s="10"/>
      <c r="X44" s="10"/>
      <c r="Y44" s="10"/>
      <c r="Z44" s="10"/>
      <c r="AA44" s="10"/>
      <c r="AB44" s="10">
        <v>1</v>
      </c>
      <c r="AC44" s="35" t="s">
        <v>227</v>
      </c>
      <c r="AD44" s="10"/>
      <c r="AE44" s="10"/>
      <c r="AF44" s="10"/>
      <c r="AG44" s="10"/>
      <c r="AH44" s="10"/>
      <c r="AI44" s="10"/>
      <c r="AJ44" s="10"/>
      <c r="AK44" s="35"/>
      <c r="AL44" s="35"/>
      <c r="AM44" s="10"/>
      <c r="AN44" s="10"/>
      <c r="AO44" s="469" t="s">
        <v>248</v>
      </c>
      <c r="AP44" s="10"/>
      <c r="AQ44" s="35" t="s">
        <v>201</v>
      </c>
      <c r="AR44" s="10">
        <v>2</v>
      </c>
      <c r="AS44" s="10"/>
      <c r="AT44" s="10"/>
      <c r="AU44" s="35"/>
      <c r="AV44" s="35"/>
      <c r="AW44" s="35"/>
      <c r="AX44" s="56"/>
      <c r="AY44" s="56" t="s">
        <v>248</v>
      </c>
      <c r="AZ44" s="35" t="s">
        <v>199</v>
      </c>
      <c r="BA44" s="10">
        <v>2</v>
      </c>
      <c r="BB44" s="35" t="s">
        <v>268</v>
      </c>
      <c r="BC44" s="35"/>
      <c r="BD44" s="10"/>
      <c r="BE44" s="35"/>
      <c r="BF44" s="35"/>
      <c r="BG44" s="35"/>
      <c r="BH44" s="10"/>
      <c r="BI44" s="10"/>
      <c r="BJ44" s="40"/>
      <c r="BK44" s="40"/>
      <c r="BL44" s="40"/>
      <c r="BM44" s="448" t="s">
        <v>417</v>
      </c>
      <c r="BN44" s="462"/>
      <c r="BO44" s="448"/>
      <c r="BP44" s="112"/>
      <c r="BQ44" s="529" t="s">
        <v>248</v>
      </c>
      <c r="BR44" s="403"/>
      <c r="BS44" s="403"/>
      <c r="BT44" s="325"/>
      <c r="BU44" s="325"/>
      <c r="BV44" s="40"/>
      <c r="BW44" s="351"/>
      <c r="BX44" s="40"/>
      <c r="BY44" s="40"/>
      <c r="BZ44" s="112"/>
    </row>
    <row r="45" spans="1:78" s="24" customFormat="1" ht="24" customHeight="1">
      <c r="A45" s="435"/>
      <c r="B45" s="506"/>
      <c r="C45" s="435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34"/>
      <c r="P45" s="34"/>
      <c r="Q45" s="34"/>
      <c r="R45" s="34"/>
      <c r="S45" s="34"/>
      <c r="T45" s="34"/>
      <c r="U45" s="10"/>
      <c r="V45" s="10"/>
      <c r="W45" s="10"/>
      <c r="X45" s="10"/>
      <c r="Y45" s="10"/>
      <c r="Z45" s="10"/>
      <c r="AA45" s="10"/>
      <c r="AB45" s="10"/>
      <c r="AC45" s="35"/>
      <c r="AD45" s="10"/>
      <c r="AE45" s="10"/>
      <c r="AF45" s="10"/>
      <c r="AG45" s="10"/>
      <c r="AH45" s="10"/>
      <c r="AI45" s="57"/>
      <c r="AJ45" s="57"/>
      <c r="AK45" s="56"/>
      <c r="AL45" s="56"/>
      <c r="AM45" s="57"/>
      <c r="AN45" s="10"/>
      <c r="AO45" s="478"/>
      <c r="AP45" s="57"/>
      <c r="AQ45" s="10"/>
      <c r="AR45" s="10"/>
      <c r="AS45" s="57"/>
      <c r="AT45" s="57"/>
      <c r="AU45" s="35"/>
      <c r="AV45" s="35"/>
      <c r="AW45" s="35"/>
      <c r="AX45" s="56"/>
      <c r="AY45" s="56"/>
      <c r="AZ45" s="10"/>
      <c r="BA45" s="10"/>
      <c r="BB45" s="10"/>
      <c r="BC45" s="35"/>
      <c r="BD45" s="10"/>
      <c r="BE45" s="35"/>
      <c r="BF45" s="35"/>
      <c r="BG45" s="35"/>
      <c r="BH45" s="10"/>
      <c r="BI45" s="10"/>
      <c r="BJ45" s="40"/>
      <c r="BK45" s="40"/>
      <c r="BL45" s="40"/>
      <c r="BM45" s="450"/>
      <c r="BN45" s="464"/>
      <c r="BO45" s="475"/>
      <c r="BP45" s="242"/>
      <c r="BQ45" s="530"/>
      <c r="BR45" s="403"/>
      <c r="BS45" s="403"/>
      <c r="BT45" s="325"/>
      <c r="BU45" s="325"/>
      <c r="BV45" s="40"/>
      <c r="BW45" s="340"/>
      <c r="BX45" s="77"/>
      <c r="BY45" s="77"/>
      <c r="BZ45" s="112"/>
    </row>
    <row r="46" spans="1:78" s="116" customFormat="1" ht="22.5" customHeight="1">
      <c r="A46" s="428">
        <v>15</v>
      </c>
      <c r="B46" s="430" t="s">
        <v>18</v>
      </c>
      <c r="C46" s="428">
        <v>4627.47</v>
      </c>
      <c r="D46" s="89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89"/>
      <c r="P46" s="89"/>
      <c r="Q46" s="89"/>
      <c r="R46" s="89"/>
      <c r="S46" s="89"/>
      <c r="T46" s="89"/>
      <c r="U46" s="61"/>
      <c r="V46" s="61"/>
      <c r="W46" s="89"/>
      <c r="X46" s="89"/>
      <c r="Y46" s="89"/>
      <c r="Z46" s="89"/>
      <c r="AA46" s="89"/>
      <c r="AB46" s="89">
        <v>5</v>
      </c>
      <c r="AC46" s="89" t="s">
        <v>318</v>
      </c>
      <c r="AD46" s="61"/>
      <c r="AE46" s="61"/>
      <c r="AF46" s="89"/>
      <c r="AG46" s="89"/>
      <c r="AH46" s="89"/>
      <c r="AI46" s="428"/>
      <c r="AJ46" s="428"/>
      <c r="AK46" s="428"/>
      <c r="AL46" s="457"/>
      <c r="AM46" s="71"/>
      <c r="AN46" s="61"/>
      <c r="AO46" s="457" t="s">
        <v>248</v>
      </c>
      <c r="AP46" s="428"/>
      <c r="AQ46" s="89" t="s">
        <v>201</v>
      </c>
      <c r="AR46" s="61">
        <v>4</v>
      </c>
      <c r="AS46" s="428"/>
      <c r="AT46" s="457"/>
      <c r="AU46" s="103" t="s">
        <v>212</v>
      </c>
      <c r="AV46" s="89" t="s">
        <v>201</v>
      </c>
      <c r="AW46" s="61">
        <v>4</v>
      </c>
      <c r="AX46" s="89" t="s">
        <v>349</v>
      </c>
      <c r="AY46" s="457" t="s">
        <v>248</v>
      </c>
      <c r="AZ46" s="89" t="s">
        <v>199</v>
      </c>
      <c r="BA46" s="61">
        <v>4</v>
      </c>
      <c r="BB46" s="89" t="s">
        <v>350</v>
      </c>
      <c r="BC46" s="89" t="s">
        <v>206</v>
      </c>
      <c r="BD46" s="61">
        <v>4.5</v>
      </c>
      <c r="BE46" s="89" t="s">
        <v>207</v>
      </c>
      <c r="BF46" s="89"/>
      <c r="BG46" s="89"/>
      <c r="BH46" s="89"/>
      <c r="BI46" s="89"/>
      <c r="BJ46" s="104"/>
      <c r="BK46" s="97"/>
      <c r="BL46" s="97"/>
      <c r="BM46" s="451" t="s">
        <v>419</v>
      </c>
      <c r="BN46" s="451" t="s">
        <v>419</v>
      </c>
      <c r="BO46" s="451"/>
      <c r="BP46" s="220"/>
      <c r="BQ46" s="487" t="s">
        <v>248</v>
      </c>
      <c r="BR46" s="104"/>
      <c r="BS46" s="104"/>
      <c r="BT46" s="326"/>
      <c r="BU46" s="326"/>
      <c r="BV46" s="96"/>
      <c r="BW46" s="342"/>
      <c r="BX46" s="451" t="s">
        <v>199</v>
      </c>
      <c r="BY46" s="451" t="s">
        <v>264</v>
      </c>
      <c r="BZ46" s="451"/>
    </row>
    <row r="47" spans="1:78" s="116" customFormat="1" ht="26.25" customHeight="1">
      <c r="A47" s="432"/>
      <c r="B47" s="500"/>
      <c r="C47" s="432"/>
      <c r="D47" s="89"/>
      <c r="E47" s="61"/>
      <c r="F47" s="61"/>
      <c r="G47" s="61"/>
      <c r="H47" s="61"/>
      <c r="I47" s="61"/>
      <c r="J47" s="61"/>
      <c r="K47" s="61"/>
      <c r="L47" s="61"/>
      <c r="M47" s="89"/>
      <c r="N47" s="89"/>
      <c r="O47" s="89"/>
      <c r="P47" s="89"/>
      <c r="Q47" s="89"/>
      <c r="R47" s="89"/>
      <c r="S47" s="89"/>
      <c r="T47" s="89"/>
      <c r="U47" s="61"/>
      <c r="V47" s="61"/>
      <c r="W47" s="89"/>
      <c r="X47" s="89"/>
      <c r="Y47" s="89"/>
      <c r="Z47" s="89"/>
      <c r="AA47" s="89"/>
      <c r="AB47" s="89"/>
      <c r="AC47" s="89"/>
      <c r="AD47" s="61"/>
      <c r="AE47" s="61"/>
      <c r="AF47" s="89"/>
      <c r="AG47" s="89"/>
      <c r="AH47" s="89"/>
      <c r="AI47" s="432"/>
      <c r="AJ47" s="432"/>
      <c r="AK47" s="432"/>
      <c r="AL47" s="432"/>
      <c r="AM47" s="61"/>
      <c r="AN47" s="61"/>
      <c r="AO47" s="432"/>
      <c r="AP47" s="432"/>
      <c r="AQ47" s="61"/>
      <c r="AR47" s="61"/>
      <c r="AS47" s="432"/>
      <c r="AT47" s="432"/>
      <c r="AU47" s="119"/>
      <c r="AV47" s="89"/>
      <c r="AW47" s="61"/>
      <c r="AX47" s="61"/>
      <c r="AY47" s="458"/>
      <c r="AZ47" s="89"/>
      <c r="BA47" s="61"/>
      <c r="BB47" s="89"/>
      <c r="BC47" s="61"/>
      <c r="BD47" s="61"/>
      <c r="BE47" s="61"/>
      <c r="BF47" s="61"/>
      <c r="BG47" s="61"/>
      <c r="BH47" s="89"/>
      <c r="BI47" s="89"/>
      <c r="BJ47" s="104"/>
      <c r="BK47" s="97"/>
      <c r="BL47" s="97"/>
      <c r="BM47" s="470"/>
      <c r="BN47" s="470"/>
      <c r="BO47" s="452"/>
      <c r="BP47" s="293"/>
      <c r="BQ47" s="533"/>
      <c r="BR47" s="104"/>
      <c r="BS47" s="104"/>
      <c r="BT47" s="326"/>
      <c r="BU47" s="326"/>
      <c r="BV47" s="96"/>
      <c r="BW47" s="347"/>
      <c r="BX47" s="452"/>
      <c r="BY47" s="452"/>
      <c r="BZ47" s="470"/>
    </row>
    <row r="48" spans="1:78" s="116" customFormat="1" ht="22.5" customHeight="1">
      <c r="A48" s="432"/>
      <c r="B48" s="500"/>
      <c r="C48" s="432"/>
      <c r="D48" s="89"/>
      <c r="E48" s="61"/>
      <c r="F48" s="61"/>
      <c r="G48" s="61"/>
      <c r="H48" s="61"/>
      <c r="I48" s="61"/>
      <c r="J48" s="61"/>
      <c r="K48" s="89"/>
      <c r="L48" s="89"/>
      <c r="M48" s="89"/>
      <c r="N48" s="89"/>
      <c r="O48" s="215"/>
      <c r="P48" s="215"/>
      <c r="Q48" s="215"/>
      <c r="R48" s="215"/>
      <c r="S48" s="215"/>
      <c r="T48" s="215"/>
      <c r="U48" s="61"/>
      <c r="V48" s="61"/>
      <c r="W48" s="89"/>
      <c r="X48" s="89"/>
      <c r="Y48" s="89"/>
      <c r="Z48" s="89"/>
      <c r="AA48" s="89"/>
      <c r="AB48" s="89"/>
      <c r="AC48" s="89"/>
      <c r="AD48" s="61"/>
      <c r="AE48" s="89"/>
      <c r="AF48" s="89"/>
      <c r="AG48" s="61"/>
      <c r="AH48" s="61"/>
      <c r="AI48" s="432"/>
      <c r="AJ48" s="432"/>
      <c r="AK48" s="432"/>
      <c r="AL48" s="432"/>
      <c r="AM48" s="61"/>
      <c r="AN48" s="61"/>
      <c r="AO48" s="432"/>
      <c r="AP48" s="432"/>
      <c r="AQ48" s="61"/>
      <c r="AR48" s="61"/>
      <c r="AS48" s="432"/>
      <c r="AT48" s="432"/>
      <c r="AU48" s="89"/>
      <c r="AV48" s="89"/>
      <c r="AW48" s="61"/>
      <c r="AX48" s="61"/>
      <c r="AY48" s="458"/>
      <c r="AZ48" s="89"/>
      <c r="BA48" s="61"/>
      <c r="BB48" s="89"/>
      <c r="BC48" s="61"/>
      <c r="BD48" s="61"/>
      <c r="BE48" s="61"/>
      <c r="BF48" s="61"/>
      <c r="BG48" s="61"/>
      <c r="BH48" s="61"/>
      <c r="BI48" s="61"/>
      <c r="BJ48" s="120"/>
      <c r="BK48" s="97"/>
      <c r="BL48" s="97"/>
      <c r="BM48" s="470"/>
      <c r="BN48" s="470"/>
      <c r="BO48" s="452"/>
      <c r="BP48" s="293"/>
      <c r="BQ48" s="533"/>
      <c r="BR48" s="134"/>
      <c r="BS48" s="134"/>
      <c r="BT48" s="326"/>
      <c r="BU48" s="326"/>
      <c r="BV48" s="96"/>
      <c r="BW48" s="347"/>
      <c r="BX48" s="452"/>
      <c r="BY48" s="452"/>
      <c r="BZ48" s="470"/>
    </row>
    <row r="49" spans="1:78" s="116" customFormat="1" ht="12" customHeight="1">
      <c r="A49" s="432"/>
      <c r="B49" s="500"/>
      <c r="C49" s="432"/>
      <c r="D49" s="89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215"/>
      <c r="P49" s="215"/>
      <c r="Q49" s="215"/>
      <c r="R49" s="215"/>
      <c r="S49" s="215"/>
      <c r="T49" s="215"/>
      <c r="U49" s="61"/>
      <c r="V49" s="61"/>
      <c r="W49" s="89"/>
      <c r="X49" s="89"/>
      <c r="Y49" s="89"/>
      <c r="Z49" s="89"/>
      <c r="AA49" s="89"/>
      <c r="AB49" s="89"/>
      <c r="AC49" s="89"/>
      <c r="AD49" s="61"/>
      <c r="AE49" s="61"/>
      <c r="AF49" s="61"/>
      <c r="AG49" s="61"/>
      <c r="AH49" s="61"/>
      <c r="AI49" s="432"/>
      <c r="AJ49" s="432"/>
      <c r="AK49" s="432"/>
      <c r="AL49" s="432"/>
      <c r="AM49" s="61"/>
      <c r="AN49" s="61"/>
      <c r="AO49" s="432"/>
      <c r="AP49" s="432"/>
      <c r="AQ49" s="61"/>
      <c r="AR49" s="61"/>
      <c r="AS49" s="432"/>
      <c r="AT49" s="432"/>
      <c r="AU49" s="89"/>
      <c r="AV49" s="89"/>
      <c r="AW49" s="61"/>
      <c r="AX49" s="61"/>
      <c r="AY49" s="458"/>
      <c r="AZ49" s="89"/>
      <c r="BA49" s="61"/>
      <c r="BB49" s="89"/>
      <c r="BC49" s="61"/>
      <c r="BD49" s="61"/>
      <c r="BE49" s="61"/>
      <c r="BF49" s="61"/>
      <c r="BG49" s="61"/>
      <c r="BH49" s="61"/>
      <c r="BI49" s="61"/>
      <c r="BJ49" s="120"/>
      <c r="BK49" s="97"/>
      <c r="BL49" s="97"/>
      <c r="BM49" s="470"/>
      <c r="BN49" s="470"/>
      <c r="BO49" s="452"/>
      <c r="BP49" s="293"/>
      <c r="BQ49" s="533"/>
      <c r="BR49" s="134"/>
      <c r="BS49" s="134"/>
      <c r="BT49" s="326"/>
      <c r="BU49" s="326"/>
      <c r="BV49" s="96"/>
      <c r="BW49" s="347"/>
      <c r="BX49" s="452"/>
      <c r="BY49" s="452"/>
      <c r="BZ49" s="470"/>
    </row>
    <row r="50" spans="1:78" s="116" customFormat="1" ht="24" customHeight="1">
      <c r="A50" s="432"/>
      <c r="B50" s="500"/>
      <c r="C50" s="432"/>
      <c r="D50" s="89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215"/>
      <c r="P50" s="215"/>
      <c r="Q50" s="215"/>
      <c r="R50" s="215"/>
      <c r="S50" s="215"/>
      <c r="T50" s="215"/>
      <c r="U50" s="61"/>
      <c r="V50" s="61"/>
      <c r="W50" s="89"/>
      <c r="X50" s="89"/>
      <c r="Y50" s="89"/>
      <c r="Z50" s="89"/>
      <c r="AA50" s="89"/>
      <c r="AB50" s="89"/>
      <c r="AC50" s="89"/>
      <c r="AD50" s="61"/>
      <c r="AE50" s="61"/>
      <c r="AF50" s="61"/>
      <c r="AG50" s="61"/>
      <c r="AH50" s="61"/>
      <c r="AI50" s="432"/>
      <c r="AJ50" s="432"/>
      <c r="AK50" s="432"/>
      <c r="AL50" s="432"/>
      <c r="AM50" s="61"/>
      <c r="AN50" s="61"/>
      <c r="AO50" s="432"/>
      <c r="AP50" s="432"/>
      <c r="AQ50" s="61"/>
      <c r="AR50" s="61"/>
      <c r="AS50" s="432"/>
      <c r="AT50" s="432"/>
      <c r="AU50" s="89"/>
      <c r="AV50" s="89"/>
      <c r="AW50" s="61"/>
      <c r="AX50" s="61"/>
      <c r="AY50" s="458"/>
      <c r="AZ50" s="89"/>
      <c r="BA50" s="61"/>
      <c r="BB50" s="89"/>
      <c r="BC50" s="61"/>
      <c r="BD50" s="61"/>
      <c r="BE50" s="61"/>
      <c r="BF50" s="61"/>
      <c r="BG50" s="61"/>
      <c r="BH50" s="61"/>
      <c r="BI50" s="61"/>
      <c r="BJ50" s="120"/>
      <c r="BK50" s="97"/>
      <c r="BL50" s="97"/>
      <c r="BM50" s="470"/>
      <c r="BN50" s="470"/>
      <c r="BO50" s="452"/>
      <c r="BP50" s="293"/>
      <c r="BQ50" s="533"/>
      <c r="BR50" s="134"/>
      <c r="BS50" s="134"/>
      <c r="BT50" s="326"/>
      <c r="BU50" s="326"/>
      <c r="BV50" s="96"/>
      <c r="BW50" s="347"/>
      <c r="BX50" s="452"/>
      <c r="BY50" s="452"/>
      <c r="BZ50" s="470"/>
    </row>
    <row r="51" spans="1:78" s="116" customFormat="1" ht="12" customHeight="1">
      <c r="A51" s="432"/>
      <c r="B51" s="500"/>
      <c r="C51" s="432"/>
      <c r="D51" s="89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215"/>
      <c r="P51" s="215"/>
      <c r="Q51" s="215"/>
      <c r="R51" s="215"/>
      <c r="S51" s="215"/>
      <c r="T51" s="215"/>
      <c r="U51" s="61"/>
      <c r="V51" s="61"/>
      <c r="W51" s="89"/>
      <c r="X51" s="89"/>
      <c r="Y51" s="89"/>
      <c r="Z51" s="89"/>
      <c r="AA51" s="89"/>
      <c r="AB51" s="89"/>
      <c r="AC51" s="89"/>
      <c r="AD51" s="61"/>
      <c r="AE51" s="61"/>
      <c r="AF51" s="61"/>
      <c r="AG51" s="61"/>
      <c r="AH51" s="61"/>
      <c r="AI51" s="432"/>
      <c r="AJ51" s="432"/>
      <c r="AK51" s="432"/>
      <c r="AL51" s="432"/>
      <c r="AM51" s="61"/>
      <c r="AN51" s="61"/>
      <c r="AO51" s="432"/>
      <c r="AP51" s="432"/>
      <c r="AQ51" s="61"/>
      <c r="AR51" s="61"/>
      <c r="AS51" s="432"/>
      <c r="AT51" s="432"/>
      <c r="AU51" s="89"/>
      <c r="AV51" s="89"/>
      <c r="AW51" s="61"/>
      <c r="AX51" s="61"/>
      <c r="AY51" s="458"/>
      <c r="AZ51" s="89"/>
      <c r="BA51" s="61"/>
      <c r="BB51" s="89"/>
      <c r="BC51" s="61"/>
      <c r="BD51" s="61"/>
      <c r="BE51" s="61"/>
      <c r="BF51" s="61"/>
      <c r="BG51" s="61"/>
      <c r="BH51" s="61"/>
      <c r="BI51" s="61"/>
      <c r="BJ51" s="120"/>
      <c r="BK51" s="97"/>
      <c r="BL51" s="97"/>
      <c r="BM51" s="470"/>
      <c r="BN51" s="470"/>
      <c r="BO51" s="452"/>
      <c r="BP51" s="293"/>
      <c r="BQ51" s="533"/>
      <c r="BR51" s="134"/>
      <c r="BS51" s="134"/>
      <c r="BT51" s="326"/>
      <c r="BU51" s="326"/>
      <c r="BV51" s="96"/>
      <c r="BW51" s="347"/>
      <c r="BX51" s="452"/>
      <c r="BY51" s="452"/>
      <c r="BZ51" s="470"/>
    </row>
    <row r="52" spans="1:78" s="116" customFormat="1" ht="12" customHeight="1">
      <c r="A52" s="432"/>
      <c r="B52" s="500"/>
      <c r="C52" s="432"/>
      <c r="D52" s="89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215"/>
      <c r="P52" s="215"/>
      <c r="Q52" s="215"/>
      <c r="R52" s="215"/>
      <c r="S52" s="215"/>
      <c r="T52" s="215"/>
      <c r="U52" s="61"/>
      <c r="V52" s="61"/>
      <c r="W52" s="89"/>
      <c r="X52" s="89"/>
      <c r="Y52" s="89"/>
      <c r="Z52" s="89"/>
      <c r="AA52" s="89"/>
      <c r="AB52" s="89"/>
      <c r="AC52" s="89"/>
      <c r="AD52" s="61"/>
      <c r="AE52" s="61"/>
      <c r="AF52" s="61"/>
      <c r="AG52" s="61"/>
      <c r="AH52" s="61"/>
      <c r="AI52" s="432"/>
      <c r="AJ52" s="432"/>
      <c r="AK52" s="432"/>
      <c r="AL52" s="432"/>
      <c r="AM52" s="61"/>
      <c r="AN52" s="61"/>
      <c r="AO52" s="432"/>
      <c r="AP52" s="432"/>
      <c r="AQ52" s="61"/>
      <c r="AR52" s="61"/>
      <c r="AS52" s="432"/>
      <c r="AT52" s="432"/>
      <c r="AU52" s="89"/>
      <c r="AV52" s="89"/>
      <c r="AW52" s="61"/>
      <c r="AX52" s="61"/>
      <c r="AY52" s="458"/>
      <c r="AZ52" s="89"/>
      <c r="BA52" s="61"/>
      <c r="BB52" s="89"/>
      <c r="BC52" s="61"/>
      <c r="BD52" s="61"/>
      <c r="BE52" s="61"/>
      <c r="BF52" s="61"/>
      <c r="BG52" s="61"/>
      <c r="BH52" s="61"/>
      <c r="BI52" s="61"/>
      <c r="BJ52" s="120"/>
      <c r="BK52" s="97"/>
      <c r="BL52" s="97"/>
      <c r="BM52" s="470"/>
      <c r="BN52" s="470"/>
      <c r="BO52" s="452"/>
      <c r="BP52" s="293"/>
      <c r="BQ52" s="533"/>
      <c r="BR52" s="134"/>
      <c r="BS52" s="134"/>
      <c r="BT52" s="326"/>
      <c r="BU52" s="326"/>
      <c r="BV52" s="96"/>
      <c r="BW52" s="347"/>
      <c r="BX52" s="452"/>
      <c r="BY52" s="452"/>
      <c r="BZ52" s="470"/>
    </row>
    <row r="53" spans="1:88" s="24" customFormat="1" ht="40.5" customHeight="1">
      <c r="A53" s="429"/>
      <c r="B53" s="431"/>
      <c r="C53" s="429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89"/>
      <c r="P53" s="89"/>
      <c r="Q53" s="89"/>
      <c r="R53" s="89"/>
      <c r="S53" s="89"/>
      <c r="T53" s="89"/>
      <c r="U53" s="61"/>
      <c r="V53" s="61"/>
      <c r="W53" s="89"/>
      <c r="X53" s="89"/>
      <c r="Y53" s="89"/>
      <c r="Z53" s="89"/>
      <c r="AA53" s="89"/>
      <c r="AB53" s="89"/>
      <c r="AC53" s="89"/>
      <c r="AD53" s="61"/>
      <c r="AE53" s="89"/>
      <c r="AF53" s="89"/>
      <c r="AG53" s="61"/>
      <c r="AH53" s="61"/>
      <c r="AI53" s="429"/>
      <c r="AJ53" s="429"/>
      <c r="AK53" s="429"/>
      <c r="AL53" s="429"/>
      <c r="AM53" s="61"/>
      <c r="AN53" s="61"/>
      <c r="AO53" s="429"/>
      <c r="AP53" s="429"/>
      <c r="AQ53" s="61"/>
      <c r="AR53" s="61"/>
      <c r="AS53" s="429"/>
      <c r="AT53" s="429"/>
      <c r="AU53" s="61"/>
      <c r="AV53" s="61"/>
      <c r="AW53" s="61"/>
      <c r="AX53" s="61"/>
      <c r="AY53" s="473"/>
      <c r="AZ53" s="61"/>
      <c r="BA53" s="61"/>
      <c r="BB53" s="62"/>
      <c r="BC53" s="61"/>
      <c r="BD53" s="61"/>
      <c r="BE53" s="61"/>
      <c r="BF53" s="61"/>
      <c r="BG53" s="61"/>
      <c r="BH53" s="61"/>
      <c r="BI53" s="61"/>
      <c r="BJ53" s="120"/>
      <c r="BK53" s="97"/>
      <c r="BL53" s="97"/>
      <c r="BM53" s="471"/>
      <c r="BN53" s="471"/>
      <c r="BO53" s="453"/>
      <c r="BP53" s="292"/>
      <c r="BQ53" s="488"/>
      <c r="BR53" s="402"/>
      <c r="BS53" s="402"/>
      <c r="BT53" s="327"/>
      <c r="BU53" s="327"/>
      <c r="BV53" s="207"/>
      <c r="BW53" s="343"/>
      <c r="BX53" s="453"/>
      <c r="BY53" s="453"/>
      <c r="BZ53" s="471"/>
      <c r="CA53" s="216"/>
      <c r="CB53" s="216"/>
      <c r="CC53" s="216"/>
      <c r="CD53" s="216"/>
      <c r="CE53" s="216"/>
      <c r="CF53" s="216"/>
      <c r="CG53" s="216"/>
      <c r="CH53" s="216"/>
      <c r="CI53" s="216"/>
      <c r="CJ53" s="216"/>
    </row>
    <row r="54" spans="1:78" s="24" customFormat="1" ht="37.5" customHeight="1">
      <c r="A54" s="433">
        <v>16</v>
      </c>
      <c r="B54" s="441" t="s">
        <v>19</v>
      </c>
      <c r="C54" s="468">
        <v>2035.1</v>
      </c>
      <c r="D54" s="35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35"/>
      <c r="P54" s="35"/>
      <c r="Q54" s="35"/>
      <c r="R54" s="35"/>
      <c r="S54" s="35"/>
      <c r="T54" s="35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433"/>
      <c r="AJ54" s="433"/>
      <c r="AK54" s="433"/>
      <c r="AL54" s="469"/>
      <c r="AM54" s="10">
        <v>4</v>
      </c>
      <c r="AN54" s="10"/>
      <c r="AO54" s="469" t="s">
        <v>248</v>
      </c>
      <c r="AP54" s="433"/>
      <c r="AQ54" s="35"/>
      <c r="AR54" s="10"/>
      <c r="AS54" s="433"/>
      <c r="AT54" s="433"/>
      <c r="AU54" s="35" t="s">
        <v>202</v>
      </c>
      <c r="AV54" s="35" t="s">
        <v>208</v>
      </c>
      <c r="AW54" s="10">
        <v>3</v>
      </c>
      <c r="AX54" s="35" t="s">
        <v>230</v>
      </c>
      <c r="AY54" s="469" t="s">
        <v>248</v>
      </c>
      <c r="AZ54" s="35"/>
      <c r="BA54" s="35"/>
      <c r="BB54" s="76"/>
      <c r="BC54" s="10"/>
      <c r="BD54" s="10"/>
      <c r="BE54" s="10"/>
      <c r="BF54" s="10"/>
      <c r="BG54" s="10"/>
      <c r="BH54" s="35"/>
      <c r="BI54" s="35"/>
      <c r="BJ54" s="106"/>
      <c r="BK54" s="106"/>
      <c r="BL54" s="106"/>
      <c r="BM54" s="112"/>
      <c r="BN54" s="448" t="s">
        <v>417</v>
      </c>
      <c r="BO54" s="448"/>
      <c r="BP54" s="112"/>
      <c r="BQ54" s="529" t="s">
        <v>248</v>
      </c>
      <c r="BR54" s="403"/>
      <c r="BS54" s="403"/>
      <c r="BT54" s="325"/>
      <c r="BU54" s="408" t="s">
        <v>405</v>
      </c>
      <c r="BV54" s="40"/>
      <c r="BW54" s="340"/>
      <c r="BX54" s="525"/>
      <c r="BY54" s="525"/>
      <c r="BZ54" s="448"/>
    </row>
    <row r="55" spans="1:78" s="24" customFormat="1" ht="37.5" customHeight="1">
      <c r="A55" s="434"/>
      <c r="B55" s="502"/>
      <c r="C55" s="468"/>
      <c r="D55" s="35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35"/>
      <c r="P55" s="35"/>
      <c r="Q55" s="35"/>
      <c r="R55" s="35"/>
      <c r="S55" s="35"/>
      <c r="T55" s="35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434"/>
      <c r="AJ55" s="434"/>
      <c r="AK55" s="434"/>
      <c r="AL55" s="472"/>
      <c r="AM55" s="10"/>
      <c r="AN55" s="10"/>
      <c r="AO55" s="472"/>
      <c r="AP55" s="434"/>
      <c r="AQ55" s="35"/>
      <c r="AR55" s="10"/>
      <c r="AS55" s="434"/>
      <c r="AT55" s="434"/>
      <c r="AU55" s="35" t="s">
        <v>202</v>
      </c>
      <c r="AV55" s="35" t="s">
        <v>199</v>
      </c>
      <c r="AW55" s="10">
        <v>3</v>
      </c>
      <c r="AX55" s="35" t="s">
        <v>231</v>
      </c>
      <c r="AY55" s="472"/>
      <c r="AZ55" s="35"/>
      <c r="BA55" s="35"/>
      <c r="BB55" s="76"/>
      <c r="BC55" s="10"/>
      <c r="BD55" s="10"/>
      <c r="BE55" s="10"/>
      <c r="BF55" s="10"/>
      <c r="BG55" s="10"/>
      <c r="BH55" s="35"/>
      <c r="BI55" s="35"/>
      <c r="BJ55" s="106"/>
      <c r="BK55" s="106"/>
      <c r="BL55" s="106"/>
      <c r="BM55" s="242"/>
      <c r="BN55" s="449"/>
      <c r="BO55" s="474"/>
      <c r="BP55" s="242"/>
      <c r="BQ55" s="534"/>
      <c r="BR55" s="403"/>
      <c r="BS55" s="403"/>
      <c r="BT55" s="325"/>
      <c r="BU55" s="325"/>
      <c r="BV55" s="40"/>
      <c r="BW55" s="349"/>
      <c r="BX55" s="526"/>
      <c r="BY55" s="526"/>
      <c r="BZ55" s="474"/>
    </row>
    <row r="56" spans="1:78" s="24" customFormat="1" ht="12" customHeight="1">
      <c r="A56" s="513"/>
      <c r="B56" s="511"/>
      <c r="C56" s="468"/>
      <c r="D56" s="35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208"/>
      <c r="P56" s="208"/>
      <c r="Q56" s="208"/>
      <c r="R56" s="208"/>
      <c r="S56" s="208"/>
      <c r="T56" s="208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35"/>
      <c r="AF56" s="35"/>
      <c r="AG56" s="10"/>
      <c r="AH56" s="10"/>
      <c r="AI56" s="435"/>
      <c r="AJ56" s="435"/>
      <c r="AK56" s="435"/>
      <c r="AL56" s="435"/>
      <c r="AM56" s="10"/>
      <c r="AN56" s="10"/>
      <c r="AO56" s="434"/>
      <c r="AP56" s="435"/>
      <c r="AQ56" s="10"/>
      <c r="AR56" s="10"/>
      <c r="AS56" s="435"/>
      <c r="AT56" s="435"/>
      <c r="AU56" s="35"/>
      <c r="AV56" s="35"/>
      <c r="AW56" s="10"/>
      <c r="AX56" s="58"/>
      <c r="AY56" s="434"/>
      <c r="AZ56" s="35"/>
      <c r="BA56" s="10"/>
      <c r="BB56" s="76"/>
      <c r="BC56" s="10"/>
      <c r="BD56" s="10"/>
      <c r="BE56" s="10"/>
      <c r="BF56" s="10"/>
      <c r="BG56" s="10"/>
      <c r="BH56" s="35"/>
      <c r="BI56" s="35"/>
      <c r="BJ56" s="50"/>
      <c r="BK56" s="40"/>
      <c r="BL56" s="40"/>
      <c r="BM56" s="78"/>
      <c r="BN56" s="450"/>
      <c r="BO56" s="450"/>
      <c r="BP56" s="371"/>
      <c r="BQ56" s="530"/>
      <c r="BR56" s="403"/>
      <c r="BS56" s="403"/>
      <c r="BT56" s="325"/>
      <c r="BU56" s="325"/>
      <c r="BV56" s="40"/>
      <c r="BW56" s="341"/>
      <c r="BX56" s="527"/>
      <c r="BY56" s="527"/>
      <c r="BZ56" s="449"/>
    </row>
    <row r="57" spans="1:78" s="116" customFormat="1" ht="21.75" customHeight="1">
      <c r="A57" s="428">
        <v>17</v>
      </c>
      <c r="B57" s="503" t="s">
        <v>20</v>
      </c>
      <c r="C57" s="428">
        <v>7015</v>
      </c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72"/>
      <c r="O57" s="101"/>
      <c r="P57" s="101"/>
      <c r="Q57" s="101"/>
      <c r="R57" s="101"/>
      <c r="S57" s="101"/>
      <c r="T57" s="101"/>
      <c r="U57" s="61"/>
      <c r="V57" s="61"/>
      <c r="W57" s="89"/>
      <c r="X57" s="89"/>
      <c r="Y57" s="89"/>
      <c r="Z57" s="89"/>
      <c r="AA57" s="89"/>
      <c r="AB57" s="89">
        <v>1</v>
      </c>
      <c r="AC57" s="89" t="s">
        <v>230</v>
      </c>
      <c r="AD57" s="61"/>
      <c r="AE57" s="89">
        <v>1</v>
      </c>
      <c r="AF57" s="89" t="s">
        <v>239</v>
      </c>
      <c r="AG57" s="89"/>
      <c r="AH57" s="89"/>
      <c r="AI57" s="428"/>
      <c r="AJ57" s="457"/>
      <c r="AK57" s="428"/>
      <c r="AL57" s="457"/>
      <c r="AM57" s="72"/>
      <c r="AN57" s="61"/>
      <c r="AO57" s="457" t="s">
        <v>248</v>
      </c>
      <c r="AP57" s="428"/>
      <c r="AQ57" s="89"/>
      <c r="AR57" s="61"/>
      <c r="AS57" s="428"/>
      <c r="AT57" s="457"/>
      <c r="AU57" s="89" t="s">
        <v>202</v>
      </c>
      <c r="AV57" s="89" t="s">
        <v>380</v>
      </c>
      <c r="AW57" s="61">
        <v>2</v>
      </c>
      <c r="AX57" s="92" t="s">
        <v>381</v>
      </c>
      <c r="AY57" s="457" t="s">
        <v>248</v>
      </c>
      <c r="AZ57" s="89"/>
      <c r="BA57" s="61"/>
      <c r="BB57" s="89"/>
      <c r="BC57" s="61"/>
      <c r="BD57" s="61"/>
      <c r="BE57" s="61"/>
      <c r="BF57" s="61"/>
      <c r="BG57" s="61"/>
      <c r="BH57" s="61"/>
      <c r="BI57" s="61"/>
      <c r="BJ57" s="118"/>
      <c r="BK57" s="118"/>
      <c r="BL57" s="118"/>
      <c r="BM57" s="418"/>
      <c r="BN57" s="459"/>
      <c r="BO57" s="451"/>
      <c r="BP57" s="220"/>
      <c r="BQ57" s="487" t="s">
        <v>248</v>
      </c>
      <c r="BR57" s="261"/>
      <c r="BS57" s="261"/>
      <c r="BT57" s="333"/>
      <c r="BU57" s="333"/>
      <c r="BV57" s="104"/>
      <c r="BW57" s="355"/>
      <c r="BX57" s="459"/>
      <c r="BY57" s="459"/>
      <c r="BZ57" s="451"/>
    </row>
    <row r="58" spans="1:78" s="116" customFormat="1" ht="35.25" customHeight="1">
      <c r="A58" s="432"/>
      <c r="B58" s="504"/>
      <c r="C58" s="432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72"/>
      <c r="O58" s="111"/>
      <c r="P58" s="111"/>
      <c r="Q58" s="111"/>
      <c r="R58" s="111"/>
      <c r="S58" s="111"/>
      <c r="T58" s="111"/>
      <c r="U58" s="61"/>
      <c r="V58" s="61"/>
      <c r="W58" s="89"/>
      <c r="X58" s="89"/>
      <c r="Y58" s="89"/>
      <c r="Z58" s="89"/>
      <c r="AA58" s="89"/>
      <c r="AB58" s="89"/>
      <c r="AC58" s="89"/>
      <c r="AD58" s="61"/>
      <c r="AE58" s="89"/>
      <c r="AF58" s="89"/>
      <c r="AG58" s="89"/>
      <c r="AH58" s="89"/>
      <c r="AI58" s="432"/>
      <c r="AJ58" s="432"/>
      <c r="AK58" s="432"/>
      <c r="AL58" s="432"/>
      <c r="AM58" s="72"/>
      <c r="AN58" s="89"/>
      <c r="AO58" s="458"/>
      <c r="AP58" s="432"/>
      <c r="AQ58" s="89"/>
      <c r="AR58" s="61"/>
      <c r="AS58" s="432"/>
      <c r="AT58" s="432"/>
      <c r="AU58" s="89"/>
      <c r="AV58" s="89"/>
      <c r="AW58" s="61"/>
      <c r="AX58" s="272"/>
      <c r="AY58" s="458"/>
      <c r="AZ58" s="61"/>
      <c r="BA58" s="61"/>
      <c r="BB58" s="89"/>
      <c r="BC58" s="89"/>
      <c r="BD58" s="61"/>
      <c r="BE58" s="89"/>
      <c r="BF58" s="89"/>
      <c r="BG58" s="89"/>
      <c r="BH58" s="89"/>
      <c r="BI58" s="89"/>
      <c r="BJ58" s="233"/>
      <c r="BK58" s="118"/>
      <c r="BL58" s="118"/>
      <c r="BM58" s="418"/>
      <c r="BN58" s="460"/>
      <c r="BO58" s="452"/>
      <c r="BP58" s="293"/>
      <c r="BQ58" s="533"/>
      <c r="BR58" s="134"/>
      <c r="BS58" s="134"/>
      <c r="BT58" s="333"/>
      <c r="BU58" s="333"/>
      <c r="BV58" s="104"/>
      <c r="BW58" s="356"/>
      <c r="BX58" s="460"/>
      <c r="BY58" s="460"/>
      <c r="BZ58" s="470"/>
    </row>
    <row r="59" spans="1:78" s="116" customFormat="1" ht="22.5" customHeight="1">
      <c r="A59" s="429"/>
      <c r="B59" s="505"/>
      <c r="C59" s="429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80"/>
      <c r="P59" s="80"/>
      <c r="Q59" s="80"/>
      <c r="R59" s="80"/>
      <c r="S59" s="80"/>
      <c r="T59" s="80"/>
      <c r="U59" s="89"/>
      <c r="V59" s="61"/>
      <c r="W59" s="89"/>
      <c r="X59" s="89"/>
      <c r="Y59" s="89"/>
      <c r="Z59" s="89"/>
      <c r="AA59" s="89"/>
      <c r="AB59" s="89"/>
      <c r="AC59" s="89"/>
      <c r="AD59" s="61"/>
      <c r="AE59" s="89"/>
      <c r="AF59" s="89"/>
      <c r="AG59" s="89"/>
      <c r="AH59" s="89"/>
      <c r="AI59" s="429"/>
      <c r="AJ59" s="429"/>
      <c r="AK59" s="429"/>
      <c r="AL59" s="429"/>
      <c r="AM59" s="61"/>
      <c r="AN59" s="61"/>
      <c r="AO59" s="429"/>
      <c r="AP59" s="429"/>
      <c r="AQ59" s="61"/>
      <c r="AR59" s="61"/>
      <c r="AS59" s="429"/>
      <c r="AT59" s="429"/>
      <c r="AU59" s="61"/>
      <c r="AV59" s="61"/>
      <c r="AW59" s="61"/>
      <c r="AX59" s="72"/>
      <c r="AY59" s="429"/>
      <c r="AZ59" s="89"/>
      <c r="BA59" s="61"/>
      <c r="BB59" s="89"/>
      <c r="BC59" s="61"/>
      <c r="BD59" s="61"/>
      <c r="BE59" s="61"/>
      <c r="BF59" s="61"/>
      <c r="BG59" s="61"/>
      <c r="BH59" s="61"/>
      <c r="BI59" s="61"/>
      <c r="BJ59" s="96"/>
      <c r="BK59" s="96"/>
      <c r="BL59" s="96"/>
      <c r="BM59" s="118"/>
      <c r="BN59" s="461"/>
      <c r="BO59" s="453"/>
      <c r="BP59" s="292"/>
      <c r="BQ59" s="488"/>
      <c r="BR59" s="134"/>
      <c r="BS59" s="134"/>
      <c r="BT59" s="333"/>
      <c r="BU59" s="333"/>
      <c r="BV59" s="104"/>
      <c r="BW59" s="357"/>
      <c r="BX59" s="461"/>
      <c r="BY59" s="461"/>
      <c r="BZ59" s="471"/>
    </row>
    <row r="60" spans="1:78" s="24" customFormat="1" ht="22.5" customHeight="1">
      <c r="A60" s="433">
        <v>18</v>
      </c>
      <c r="B60" s="441" t="s">
        <v>21</v>
      </c>
      <c r="C60" s="433">
        <v>2545.6</v>
      </c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35"/>
      <c r="P60" s="35"/>
      <c r="Q60" s="35"/>
      <c r="R60" s="35"/>
      <c r="S60" s="35"/>
      <c r="T60" s="35"/>
      <c r="U60" s="10"/>
      <c r="V60" s="10"/>
      <c r="W60" s="35"/>
      <c r="X60" s="35"/>
      <c r="Y60" s="35"/>
      <c r="Z60" s="35"/>
      <c r="AA60" s="35"/>
      <c r="AB60" s="35"/>
      <c r="AC60" s="35"/>
      <c r="AD60" s="35"/>
      <c r="AE60" s="10">
        <v>15</v>
      </c>
      <c r="AF60" s="35" t="s">
        <v>252</v>
      </c>
      <c r="AG60" s="10"/>
      <c r="AH60" s="10"/>
      <c r="AI60" s="433"/>
      <c r="AJ60" s="469"/>
      <c r="AK60" s="433"/>
      <c r="AL60" s="469"/>
      <c r="AM60" s="10"/>
      <c r="AN60" s="10"/>
      <c r="AO60" s="476" t="s">
        <v>248</v>
      </c>
      <c r="AP60" s="433"/>
      <c r="AQ60" s="10"/>
      <c r="AR60" s="10"/>
      <c r="AS60" s="433"/>
      <c r="AT60" s="469"/>
      <c r="AU60" s="35"/>
      <c r="AV60" s="35"/>
      <c r="AW60" s="10"/>
      <c r="AX60" s="57"/>
      <c r="AY60" s="469" t="s">
        <v>248</v>
      </c>
      <c r="AZ60" s="35"/>
      <c r="BA60" s="35"/>
      <c r="BB60" s="35"/>
      <c r="BC60" s="35"/>
      <c r="BD60" s="10"/>
      <c r="BE60" s="35"/>
      <c r="BF60" s="35"/>
      <c r="BG60" s="35"/>
      <c r="BH60" s="35"/>
      <c r="BI60" s="35"/>
      <c r="BJ60" s="106"/>
      <c r="BK60" s="106"/>
      <c r="BL60" s="106"/>
      <c r="BM60" s="112"/>
      <c r="BN60" s="448" t="s">
        <v>416</v>
      </c>
      <c r="BO60" s="448"/>
      <c r="BP60" s="112"/>
      <c r="BQ60" s="529" t="s">
        <v>248</v>
      </c>
      <c r="BR60" s="403"/>
      <c r="BS60" s="403"/>
      <c r="BT60" s="334" t="s">
        <v>262</v>
      </c>
      <c r="BU60" s="334"/>
      <c r="BV60" s="50"/>
      <c r="BW60" s="358"/>
      <c r="BX60" s="525"/>
      <c r="BY60" s="525"/>
      <c r="BZ60" s="448"/>
    </row>
    <row r="61" spans="1:78" s="24" customFormat="1" ht="27" customHeight="1">
      <c r="A61" s="434"/>
      <c r="B61" s="502"/>
      <c r="C61" s="434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217"/>
      <c r="P61" s="217"/>
      <c r="Q61" s="217"/>
      <c r="R61" s="217"/>
      <c r="S61" s="217"/>
      <c r="T61" s="217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434"/>
      <c r="AJ61" s="434"/>
      <c r="AK61" s="434"/>
      <c r="AL61" s="434"/>
      <c r="AM61" s="10"/>
      <c r="AN61" s="10"/>
      <c r="AO61" s="477"/>
      <c r="AP61" s="434"/>
      <c r="AQ61" s="10"/>
      <c r="AR61" s="10"/>
      <c r="AS61" s="434"/>
      <c r="AT61" s="434"/>
      <c r="AU61" s="35"/>
      <c r="AV61" s="35"/>
      <c r="AW61" s="10"/>
      <c r="AX61" s="58"/>
      <c r="AY61" s="434"/>
      <c r="AZ61" s="35"/>
      <c r="BA61" s="35"/>
      <c r="BB61" s="9"/>
      <c r="BC61" s="35"/>
      <c r="BD61" s="10"/>
      <c r="BE61" s="35"/>
      <c r="BF61" s="35"/>
      <c r="BG61" s="35"/>
      <c r="BH61" s="35"/>
      <c r="BI61" s="35"/>
      <c r="BJ61" s="107"/>
      <c r="BK61" s="107"/>
      <c r="BL61" s="107"/>
      <c r="BM61" s="424"/>
      <c r="BN61" s="449"/>
      <c r="BO61" s="449"/>
      <c r="BP61" s="370"/>
      <c r="BQ61" s="534"/>
      <c r="BR61" s="403"/>
      <c r="BS61" s="403"/>
      <c r="BT61" s="325"/>
      <c r="BU61" s="325"/>
      <c r="BV61" s="40"/>
      <c r="BW61" s="349"/>
      <c r="BX61" s="526"/>
      <c r="BY61" s="526"/>
      <c r="BZ61" s="474"/>
    </row>
    <row r="62" spans="1:78" s="24" customFormat="1" ht="12" customHeight="1">
      <c r="A62" s="434"/>
      <c r="B62" s="502"/>
      <c r="C62" s="434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217"/>
      <c r="P62" s="217"/>
      <c r="Q62" s="217"/>
      <c r="R62" s="217"/>
      <c r="S62" s="217"/>
      <c r="T62" s="217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434"/>
      <c r="AJ62" s="434"/>
      <c r="AK62" s="434"/>
      <c r="AL62" s="434"/>
      <c r="AM62" s="13"/>
      <c r="AN62" s="10"/>
      <c r="AO62" s="477"/>
      <c r="AP62" s="434"/>
      <c r="AQ62" s="10"/>
      <c r="AR62" s="10"/>
      <c r="AS62" s="434"/>
      <c r="AT62" s="434"/>
      <c r="AU62" s="35"/>
      <c r="AV62" s="35"/>
      <c r="AW62" s="10"/>
      <c r="AX62" s="58"/>
      <c r="AY62" s="434"/>
      <c r="AZ62" s="10"/>
      <c r="BA62" s="10"/>
      <c r="BB62" s="7"/>
      <c r="BC62" s="10"/>
      <c r="BD62" s="10"/>
      <c r="BE62" s="13"/>
      <c r="BF62" s="13"/>
      <c r="BG62" s="13"/>
      <c r="BH62" s="10"/>
      <c r="BI62" s="10"/>
      <c r="BJ62" s="40"/>
      <c r="BK62" s="78"/>
      <c r="BL62" s="78"/>
      <c r="BM62" s="414"/>
      <c r="BN62" s="449"/>
      <c r="BO62" s="449"/>
      <c r="BP62" s="370"/>
      <c r="BQ62" s="534"/>
      <c r="BR62" s="403"/>
      <c r="BS62" s="403"/>
      <c r="BT62" s="325"/>
      <c r="BU62" s="325"/>
      <c r="BV62" s="40"/>
      <c r="BW62" s="349"/>
      <c r="BX62" s="526"/>
      <c r="BY62" s="526"/>
      <c r="BZ62" s="474"/>
    </row>
    <row r="63" spans="1:78" s="24" customFormat="1" ht="12" customHeight="1">
      <c r="A63" s="434"/>
      <c r="B63" s="502"/>
      <c r="C63" s="434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217"/>
      <c r="P63" s="217"/>
      <c r="Q63" s="217"/>
      <c r="R63" s="217"/>
      <c r="S63" s="217"/>
      <c r="T63" s="217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35"/>
      <c r="AF63" s="35"/>
      <c r="AG63" s="10"/>
      <c r="AH63" s="10"/>
      <c r="AI63" s="434"/>
      <c r="AJ63" s="434"/>
      <c r="AK63" s="434"/>
      <c r="AL63" s="434"/>
      <c r="AM63" s="13"/>
      <c r="AN63" s="10"/>
      <c r="AO63" s="477"/>
      <c r="AP63" s="434"/>
      <c r="AQ63" s="10"/>
      <c r="AR63" s="10"/>
      <c r="AS63" s="434"/>
      <c r="AT63" s="434"/>
      <c r="AU63" s="35"/>
      <c r="AV63" s="35"/>
      <c r="AW63" s="10"/>
      <c r="AX63" s="58"/>
      <c r="AY63" s="434"/>
      <c r="AZ63" s="10"/>
      <c r="BA63" s="10"/>
      <c r="BB63" s="7"/>
      <c r="BC63" s="10"/>
      <c r="BD63" s="10"/>
      <c r="BE63" s="13"/>
      <c r="BF63" s="13"/>
      <c r="BG63" s="13"/>
      <c r="BH63" s="13"/>
      <c r="BI63" s="13"/>
      <c r="BJ63" s="78"/>
      <c r="BK63" s="78"/>
      <c r="BL63" s="78"/>
      <c r="BM63" s="414"/>
      <c r="BN63" s="449"/>
      <c r="BO63" s="449"/>
      <c r="BP63" s="370"/>
      <c r="BQ63" s="534"/>
      <c r="BR63" s="403"/>
      <c r="BS63" s="403"/>
      <c r="BT63" s="325"/>
      <c r="BU63" s="325"/>
      <c r="BV63" s="40"/>
      <c r="BW63" s="349"/>
      <c r="BX63" s="526"/>
      <c r="BY63" s="526"/>
      <c r="BZ63" s="474"/>
    </row>
    <row r="64" spans="1:78" s="24" customFormat="1" ht="12" customHeight="1">
      <c r="A64" s="434"/>
      <c r="B64" s="502"/>
      <c r="C64" s="434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217"/>
      <c r="P64" s="217"/>
      <c r="Q64" s="217"/>
      <c r="R64" s="217"/>
      <c r="S64" s="217"/>
      <c r="T64" s="217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434"/>
      <c r="AJ64" s="434"/>
      <c r="AK64" s="434"/>
      <c r="AL64" s="434"/>
      <c r="AM64" s="13"/>
      <c r="AN64" s="10"/>
      <c r="AO64" s="477"/>
      <c r="AP64" s="434"/>
      <c r="AQ64" s="10"/>
      <c r="AR64" s="10"/>
      <c r="AS64" s="434"/>
      <c r="AT64" s="434"/>
      <c r="AU64" s="35"/>
      <c r="AV64" s="35"/>
      <c r="AW64" s="10"/>
      <c r="AX64" s="58"/>
      <c r="AY64" s="434"/>
      <c r="AZ64" s="10"/>
      <c r="BA64" s="10"/>
      <c r="BB64" s="7"/>
      <c r="BC64" s="10"/>
      <c r="BD64" s="10"/>
      <c r="BE64" s="13"/>
      <c r="BF64" s="13"/>
      <c r="BG64" s="13"/>
      <c r="BH64" s="13"/>
      <c r="BI64" s="13"/>
      <c r="BJ64" s="78"/>
      <c r="BK64" s="78"/>
      <c r="BL64" s="78"/>
      <c r="BM64" s="414"/>
      <c r="BN64" s="449"/>
      <c r="BO64" s="449"/>
      <c r="BP64" s="370"/>
      <c r="BQ64" s="534"/>
      <c r="BR64" s="403"/>
      <c r="BS64" s="403"/>
      <c r="BT64" s="325"/>
      <c r="BU64" s="325"/>
      <c r="BV64" s="40"/>
      <c r="BW64" s="349"/>
      <c r="BX64" s="526"/>
      <c r="BY64" s="526"/>
      <c r="BZ64" s="474"/>
    </row>
    <row r="65" spans="1:78" s="24" customFormat="1" ht="12" customHeight="1">
      <c r="A65" s="435"/>
      <c r="B65" s="442"/>
      <c r="C65" s="435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217"/>
      <c r="P65" s="217"/>
      <c r="Q65" s="217"/>
      <c r="R65" s="217"/>
      <c r="S65" s="217"/>
      <c r="T65" s="217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435"/>
      <c r="AJ65" s="435"/>
      <c r="AK65" s="435"/>
      <c r="AL65" s="435"/>
      <c r="AM65" s="13"/>
      <c r="AN65" s="10"/>
      <c r="AO65" s="446"/>
      <c r="AP65" s="435"/>
      <c r="AQ65" s="10"/>
      <c r="AR65" s="10"/>
      <c r="AS65" s="435"/>
      <c r="AT65" s="435"/>
      <c r="AU65" s="105"/>
      <c r="AV65" s="105"/>
      <c r="AW65" s="149"/>
      <c r="AX65" s="257"/>
      <c r="AY65" s="435"/>
      <c r="AZ65" s="10"/>
      <c r="BA65" s="10"/>
      <c r="BB65" s="13"/>
      <c r="BC65" s="10"/>
      <c r="BD65" s="10"/>
      <c r="BE65" s="13"/>
      <c r="BF65" s="13"/>
      <c r="BG65" s="13"/>
      <c r="BH65" s="13"/>
      <c r="BI65" s="13"/>
      <c r="BJ65" s="78"/>
      <c r="BK65" s="78"/>
      <c r="BL65" s="78"/>
      <c r="BM65" s="78"/>
      <c r="BN65" s="450"/>
      <c r="BO65" s="450"/>
      <c r="BP65" s="371"/>
      <c r="BQ65" s="530"/>
      <c r="BR65" s="403"/>
      <c r="BS65" s="403"/>
      <c r="BT65" s="325"/>
      <c r="BU65" s="325"/>
      <c r="BV65" s="40"/>
      <c r="BW65" s="341"/>
      <c r="BX65" s="527"/>
      <c r="BY65" s="527"/>
      <c r="BZ65" s="475"/>
    </row>
    <row r="66" spans="1:78" s="116" customFormat="1" ht="9.75">
      <c r="A66" s="428">
        <v>19</v>
      </c>
      <c r="B66" s="430" t="s">
        <v>22</v>
      </c>
      <c r="C66" s="428">
        <v>1252.6</v>
      </c>
      <c r="D66" s="89" t="s">
        <v>222</v>
      </c>
      <c r="E66" s="61">
        <v>2</v>
      </c>
      <c r="F66" s="89" t="s">
        <v>196</v>
      </c>
      <c r="G66" s="89" t="s">
        <v>229</v>
      </c>
      <c r="H66" s="61">
        <v>2</v>
      </c>
      <c r="I66" s="61"/>
      <c r="J66" s="89" t="s">
        <v>196</v>
      </c>
      <c r="K66" s="61"/>
      <c r="L66" s="61"/>
      <c r="M66" s="61"/>
      <c r="N66" s="61"/>
      <c r="O66" s="205"/>
      <c r="P66" s="205"/>
      <c r="Q66" s="205"/>
      <c r="R66" s="205"/>
      <c r="S66" s="205"/>
      <c r="T66" s="205"/>
      <c r="U66" s="61"/>
      <c r="V66" s="61"/>
      <c r="W66" s="61"/>
      <c r="X66" s="61">
        <v>12</v>
      </c>
      <c r="Y66" s="61">
        <v>2</v>
      </c>
      <c r="Z66" s="61"/>
      <c r="AA66" s="61"/>
      <c r="AB66" s="61"/>
      <c r="AC66" s="61"/>
      <c r="AD66" s="61"/>
      <c r="AE66" s="61"/>
      <c r="AF66" s="61"/>
      <c r="AG66" s="61"/>
      <c r="AH66" s="61"/>
      <c r="AI66" s="428"/>
      <c r="AJ66" s="428"/>
      <c r="AK66" s="428"/>
      <c r="AL66" s="457"/>
      <c r="AM66" s="428">
        <v>12</v>
      </c>
      <c r="AN66" s="89"/>
      <c r="AO66" s="457" t="s">
        <v>248</v>
      </c>
      <c r="AP66" s="428"/>
      <c r="AQ66" s="89"/>
      <c r="AR66" s="61"/>
      <c r="AS66" s="428"/>
      <c r="AT66" s="428"/>
      <c r="AU66" s="89"/>
      <c r="AV66" s="89"/>
      <c r="AW66" s="61"/>
      <c r="AX66" s="71"/>
      <c r="AY66" s="457" t="s">
        <v>248</v>
      </c>
      <c r="AZ66" s="89" t="s">
        <v>197</v>
      </c>
      <c r="BA66" s="89">
        <v>8</v>
      </c>
      <c r="BB66" s="89" t="s">
        <v>196</v>
      </c>
      <c r="BC66" s="61"/>
      <c r="BD66" s="61"/>
      <c r="BE66" s="61"/>
      <c r="BF66" s="61"/>
      <c r="BG66" s="61"/>
      <c r="BH66" s="89"/>
      <c r="BI66" s="89"/>
      <c r="BJ66" s="121"/>
      <c r="BK66" s="121"/>
      <c r="BL66" s="121"/>
      <c r="BM66" s="535">
        <v>1</v>
      </c>
      <c r="BN66" s="465"/>
      <c r="BO66" s="451"/>
      <c r="BP66" s="220"/>
      <c r="BQ66" s="487" t="s">
        <v>248</v>
      </c>
      <c r="BR66" s="134"/>
      <c r="BS66" s="134"/>
      <c r="BT66" s="326"/>
      <c r="BU66" s="326"/>
      <c r="BV66" s="96"/>
      <c r="BW66" s="342"/>
      <c r="BX66" s="459"/>
      <c r="BY66" s="459"/>
      <c r="BZ66" s="451"/>
    </row>
    <row r="67" spans="1:78" s="116" customFormat="1" ht="12" customHeight="1">
      <c r="A67" s="510"/>
      <c r="B67" s="508"/>
      <c r="C67" s="432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204"/>
      <c r="P67" s="204"/>
      <c r="Q67" s="204"/>
      <c r="R67" s="204"/>
      <c r="S67" s="204"/>
      <c r="T67" s="204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61"/>
      <c r="AF67" s="61"/>
      <c r="AG67" s="61"/>
      <c r="AH67" s="61"/>
      <c r="AI67" s="429"/>
      <c r="AJ67" s="429"/>
      <c r="AK67" s="429"/>
      <c r="AL67" s="429"/>
      <c r="AM67" s="519"/>
      <c r="AN67" s="61"/>
      <c r="AO67" s="432"/>
      <c r="AP67" s="429"/>
      <c r="AQ67" s="61"/>
      <c r="AR67" s="61"/>
      <c r="AS67" s="429"/>
      <c r="AT67" s="429"/>
      <c r="AU67" s="89"/>
      <c r="AV67" s="89"/>
      <c r="AW67" s="61"/>
      <c r="AX67" s="272"/>
      <c r="AY67" s="432"/>
      <c r="AZ67" s="61"/>
      <c r="BA67" s="61"/>
      <c r="BB67" s="61"/>
      <c r="BC67" s="61"/>
      <c r="BD67" s="61"/>
      <c r="BE67" s="61"/>
      <c r="BF67" s="72"/>
      <c r="BG67" s="72"/>
      <c r="BH67" s="111"/>
      <c r="BI67" s="111"/>
      <c r="BJ67" s="121"/>
      <c r="BK67" s="121"/>
      <c r="BL67" s="121"/>
      <c r="BM67" s="536"/>
      <c r="BN67" s="466"/>
      <c r="BO67" s="453"/>
      <c r="BP67" s="292"/>
      <c r="BQ67" s="488"/>
      <c r="BR67" s="134"/>
      <c r="BS67" s="134"/>
      <c r="BT67" s="326"/>
      <c r="BU67" s="326"/>
      <c r="BV67" s="96"/>
      <c r="BW67" s="343"/>
      <c r="BX67" s="461"/>
      <c r="BY67" s="461"/>
      <c r="BZ67" s="471"/>
    </row>
    <row r="68" spans="1:78" s="24" customFormat="1" ht="9.75">
      <c r="A68" s="433">
        <v>20</v>
      </c>
      <c r="B68" s="441" t="s">
        <v>23</v>
      </c>
      <c r="C68" s="433">
        <v>4044.8</v>
      </c>
      <c r="D68" s="35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34"/>
      <c r="P68" s="34"/>
      <c r="Q68" s="34"/>
      <c r="R68" s="35"/>
      <c r="S68" s="35"/>
      <c r="T68" s="35"/>
      <c r="U68" s="10"/>
      <c r="V68" s="10"/>
      <c r="W68" s="35"/>
      <c r="X68" s="35"/>
      <c r="Y68" s="35"/>
      <c r="Z68" s="35"/>
      <c r="AA68" s="35"/>
      <c r="AB68" s="35">
        <v>2</v>
      </c>
      <c r="AC68" s="35" t="s">
        <v>319</v>
      </c>
      <c r="AD68" s="35"/>
      <c r="AE68" s="35">
        <v>12</v>
      </c>
      <c r="AF68" s="35" t="s">
        <v>247</v>
      </c>
      <c r="AG68" s="35"/>
      <c r="AH68" s="35"/>
      <c r="AI68" s="433">
        <v>2</v>
      </c>
      <c r="AJ68" s="433"/>
      <c r="AK68" s="433"/>
      <c r="AL68" s="469"/>
      <c r="AM68" s="35"/>
      <c r="AN68" s="10"/>
      <c r="AO68" s="469" t="s">
        <v>248</v>
      </c>
      <c r="AP68" s="433"/>
      <c r="AQ68" s="35"/>
      <c r="AR68" s="10"/>
      <c r="AS68" s="433"/>
      <c r="AT68" s="469"/>
      <c r="AU68" s="35" t="s">
        <v>202</v>
      </c>
      <c r="AV68" s="35" t="s">
        <v>251</v>
      </c>
      <c r="AW68" s="10">
        <v>6</v>
      </c>
      <c r="AX68" s="35" t="s">
        <v>305</v>
      </c>
      <c r="AY68" s="469" t="s">
        <v>248</v>
      </c>
      <c r="AZ68" s="35" t="s">
        <v>199</v>
      </c>
      <c r="BA68" s="93">
        <v>6.5</v>
      </c>
      <c r="BB68" s="35" t="s">
        <v>403</v>
      </c>
      <c r="BC68" s="35" t="s">
        <v>206</v>
      </c>
      <c r="BD68" s="10">
        <v>2</v>
      </c>
      <c r="BE68" s="35" t="s">
        <v>279</v>
      </c>
      <c r="BF68" s="10"/>
      <c r="BG68" s="10"/>
      <c r="BH68" s="35" t="s">
        <v>375</v>
      </c>
      <c r="BI68" s="35" t="s">
        <v>279</v>
      </c>
      <c r="BJ68" s="106" t="s">
        <v>382</v>
      </c>
      <c r="BK68" s="50"/>
      <c r="BL68" s="50"/>
      <c r="BM68" s="419"/>
      <c r="BN68" s="462"/>
      <c r="BO68" s="448"/>
      <c r="BP68" s="112"/>
      <c r="BQ68" s="529" t="s">
        <v>248</v>
      </c>
      <c r="BR68" s="403"/>
      <c r="BS68" s="403"/>
      <c r="BT68" s="325"/>
      <c r="BU68" s="325"/>
      <c r="BV68" s="40"/>
      <c r="BW68" s="340"/>
      <c r="BX68" s="462"/>
      <c r="BY68" s="462"/>
      <c r="BZ68" s="448"/>
    </row>
    <row r="69" spans="1:78" s="24" customFormat="1" ht="25.5" customHeight="1">
      <c r="A69" s="434"/>
      <c r="B69" s="502"/>
      <c r="C69" s="434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208"/>
      <c r="P69" s="208"/>
      <c r="Q69" s="208"/>
      <c r="R69" s="226"/>
      <c r="S69" s="226"/>
      <c r="T69" s="226"/>
      <c r="U69" s="10"/>
      <c r="V69" s="10"/>
      <c r="W69" s="10"/>
      <c r="X69" s="10"/>
      <c r="Y69" s="10"/>
      <c r="Z69" s="10"/>
      <c r="AA69" s="10"/>
      <c r="AB69" s="10"/>
      <c r="AC69" s="10"/>
      <c r="AD69" s="35"/>
      <c r="AE69" s="10"/>
      <c r="AF69" s="10"/>
      <c r="AG69" s="10"/>
      <c r="AH69" s="10"/>
      <c r="AI69" s="434"/>
      <c r="AJ69" s="434"/>
      <c r="AK69" s="434"/>
      <c r="AL69" s="434"/>
      <c r="AM69" s="35"/>
      <c r="AN69" s="10"/>
      <c r="AO69" s="434"/>
      <c r="AP69" s="434"/>
      <c r="AQ69" s="35"/>
      <c r="AR69" s="10"/>
      <c r="AS69" s="434"/>
      <c r="AT69" s="434"/>
      <c r="AU69" s="35" t="s">
        <v>202</v>
      </c>
      <c r="AV69" s="35" t="s">
        <v>201</v>
      </c>
      <c r="AW69" s="10">
        <v>4</v>
      </c>
      <c r="AX69" s="35" t="s">
        <v>305</v>
      </c>
      <c r="AY69" s="434"/>
      <c r="AZ69" s="35" t="s">
        <v>199</v>
      </c>
      <c r="BA69" s="93">
        <v>8</v>
      </c>
      <c r="BB69" s="56" t="s">
        <v>402</v>
      </c>
      <c r="BC69" s="10"/>
      <c r="BD69" s="10"/>
      <c r="BE69" s="10"/>
      <c r="BF69" s="10"/>
      <c r="BG69" s="10"/>
      <c r="BH69" s="35"/>
      <c r="BI69" s="35"/>
      <c r="BJ69" s="106"/>
      <c r="BK69" s="40"/>
      <c r="BL69" s="40"/>
      <c r="BM69" s="414"/>
      <c r="BN69" s="463"/>
      <c r="BO69" s="449"/>
      <c r="BP69" s="370"/>
      <c r="BQ69" s="534"/>
      <c r="BR69" s="403"/>
      <c r="BS69" s="403"/>
      <c r="BT69" s="325"/>
      <c r="BU69" s="325"/>
      <c r="BV69" s="40"/>
      <c r="BW69" s="349"/>
      <c r="BX69" s="463"/>
      <c r="BY69" s="463"/>
      <c r="BZ69" s="474"/>
    </row>
    <row r="70" spans="1:78" s="24" customFormat="1" ht="23.25" customHeight="1">
      <c r="A70" s="434"/>
      <c r="B70" s="502"/>
      <c r="C70" s="434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208"/>
      <c r="P70" s="208"/>
      <c r="Q70" s="208"/>
      <c r="R70" s="226"/>
      <c r="S70" s="226"/>
      <c r="T70" s="226"/>
      <c r="U70" s="10"/>
      <c r="V70" s="10"/>
      <c r="W70" s="57"/>
      <c r="X70" s="57"/>
      <c r="Y70" s="57"/>
      <c r="Z70" s="57"/>
      <c r="AA70" s="57"/>
      <c r="AB70" s="57"/>
      <c r="AC70" s="57"/>
      <c r="AD70" s="56"/>
      <c r="AE70" s="10"/>
      <c r="AF70" s="10"/>
      <c r="AG70" s="10"/>
      <c r="AH70" s="10"/>
      <c r="AI70" s="434"/>
      <c r="AJ70" s="434"/>
      <c r="AK70" s="434"/>
      <c r="AL70" s="434"/>
      <c r="AM70" s="35"/>
      <c r="AN70" s="10"/>
      <c r="AO70" s="434"/>
      <c r="AP70" s="434"/>
      <c r="AQ70" s="35"/>
      <c r="AR70" s="10"/>
      <c r="AS70" s="434"/>
      <c r="AT70" s="434"/>
      <c r="AU70" s="35" t="s">
        <v>202</v>
      </c>
      <c r="AV70" s="35" t="s">
        <v>199</v>
      </c>
      <c r="AW70" s="10">
        <v>4</v>
      </c>
      <c r="AX70" s="35" t="s">
        <v>304</v>
      </c>
      <c r="AY70" s="434"/>
      <c r="AZ70" s="35"/>
      <c r="BA70" s="93"/>
      <c r="BB70" s="56"/>
      <c r="BC70" s="35"/>
      <c r="BD70" s="10"/>
      <c r="BE70" s="35"/>
      <c r="BF70" s="35"/>
      <c r="BG70" s="35"/>
      <c r="BH70" s="10"/>
      <c r="BJ70" s="40"/>
      <c r="BK70" s="40"/>
      <c r="BL70" s="40"/>
      <c r="BM70" s="414"/>
      <c r="BN70" s="463"/>
      <c r="BO70" s="449"/>
      <c r="BP70" s="370"/>
      <c r="BQ70" s="534"/>
      <c r="BR70" s="403"/>
      <c r="BS70" s="403"/>
      <c r="BT70" s="325"/>
      <c r="BU70" s="325"/>
      <c r="BV70" s="40"/>
      <c r="BW70" s="349"/>
      <c r="BX70" s="463"/>
      <c r="BY70" s="463"/>
      <c r="BZ70" s="474"/>
    </row>
    <row r="71" spans="1:78" s="24" customFormat="1" ht="23.25" customHeight="1">
      <c r="A71" s="434"/>
      <c r="B71" s="502"/>
      <c r="C71" s="434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208"/>
      <c r="P71" s="208"/>
      <c r="Q71" s="208"/>
      <c r="R71" s="226"/>
      <c r="S71" s="226"/>
      <c r="T71" s="226"/>
      <c r="U71" s="10"/>
      <c r="V71" s="10"/>
      <c r="W71" s="57"/>
      <c r="X71" s="57"/>
      <c r="Y71" s="57"/>
      <c r="Z71" s="57"/>
      <c r="AA71" s="57"/>
      <c r="AB71" s="57"/>
      <c r="AC71" s="57"/>
      <c r="AD71" s="56"/>
      <c r="AE71" s="10"/>
      <c r="AF71" s="10"/>
      <c r="AG71" s="10"/>
      <c r="AH71" s="10"/>
      <c r="AI71" s="434"/>
      <c r="AJ71" s="434"/>
      <c r="AK71" s="434"/>
      <c r="AL71" s="434"/>
      <c r="AM71" s="35"/>
      <c r="AN71" s="10"/>
      <c r="AO71" s="434"/>
      <c r="AP71" s="434"/>
      <c r="AQ71" s="35"/>
      <c r="AR71" s="10"/>
      <c r="AS71" s="434"/>
      <c r="AT71" s="434"/>
      <c r="AU71" s="35" t="s">
        <v>202</v>
      </c>
      <c r="AV71" s="35" t="s">
        <v>201</v>
      </c>
      <c r="AW71" s="10">
        <v>2</v>
      </c>
      <c r="AX71" s="35" t="s">
        <v>334</v>
      </c>
      <c r="AY71" s="434"/>
      <c r="AZ71" s="35"/>
      <c r="BA71" s="93"/>
      <c r="BB71" s="56"/>
      <c r="BC71" s="35"/>
      <c r="BD71" s="10"/>
      <c r="BE71" s="35"/>
      <c r="BF71" s="35"/>
      <c r="BG71" s="35"/>
      <c r="BH71" s="10"/>
      <c r="BJ71" s="40"/>
      <c r="BK71" s="40"/>
      <c r="BL71" s="40"/>
      <c r="BM71" s="414"/>
      <c r="BN71" s="463"/>
      <c r="BO71" s="449"/>
      <c r="BP71" s="370"/>
      <c r="BQ71" s="534"/>
      <c r="BR71" s="403"/>
      <c r="BS71" s="403"/>
      <c r="BT71" s="325"/>
      <c r="BU71" s="325"/>
      <c r="BV71" s="40"/>
      <c r="BW71" s="349"/>
      <c r="BX71" s="463"/>
      <c r="BY71" s="463"/>
      <c r="BZ71" s="474"/>
    </row>
    <row r="72" spans="1:78" s="24" customFormat="1" ht="23.25" customHeight="1">
      <c r="A72" s="435"/>
      <c r="B72" s="442"/>
      <c r="C72" s="435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208"/>
      <c r="P72" s="208"/>
      <c r="Q72" s="208"/>
      <c r="R72" s="226"/>
      <c r="S72" s="226"/>
      <c r="T72" s="226"/>
      <c r="U72" s="10"/>
      <c r="V72" s="10"/>
      <c r="W72" s="57"/>
      <c r="X72" s="57"/>
      <c r="Y72" s="57"/>
      <c r="Z72" s="57"/>
      <c r="AA72" s="57"/>
      <c r="AB72" s="57"/>
      <c r="AC72" s="57"/>
      <c r="AD72" s="56"/>
      <c r="AE72" s="35"/>
      <c r="AF72" s="35"/>
      <c r="AG72" s="10"/>
      <c r="AH72" s="10"/>
      <c r="AI72" s="435"/>
      <c r="AJ72" s="435"/>
      <c r="AK72" s="435"/>
      <c r="AL72" s="435"/>
      <c r="AM72" s="35"/>
      <c r="AN72" s="10"/>
      <c r="AO72" s="435"/>
      <c r="AP72" s="435"/>
      <c r="AQ72" s="10"/>
      <c r="AR72" s="10"/>
      <c r="AS72" s="435"/>
      <c r="AT72" s="435"/>
      <c r="AU72" s="10"/>
      <c r="AV72" s="10"/>
      <c r="AW72" s="10"/>
      <c r="AX72" s="10"/>
      <c r="AY72" s="435"/>
      <c r="AZ72" s="35"/>
      <c r="BA72" s="93"/>
      <c r="BB72" s="56"/>
      <c r="BC72" s="10"/>
      <c r="BD72" s="10"/>
      <c r="BE72" s="10"/>
      <c r="BF72" s="10"/>
      <c r="BG72" s="10"/>
      <c r="BH72" s="10"/>
      <c r="BI72" s="10"/>
      <c r="BJ72" s="40"/>
      <c r="BK72" s="40"/>
      <c r="BL72" s="40"/>
      <c r="BM72" s="78"/>
      <c r="BN72" s="464"/>
      <c r="BO72" s="450"/>
      <c r="BP72" s="371"/>
      <c r="BQ72" s="530"/>
      <c r="BR72" s="403"/>
      <c r="BS72" s="403"/>
      <c r="BT72" s="325"/>
      <c r="BU72" s="325"/>
      <c r="BV72" s="40"/>
      <c r="BW72" s="341"/>
      <c r="BX72" s="464"/>
      <c r="BY72" s="464"/>
      <c r="BZ72" s="475"/>
    </row>
    <row r="73" spans="1:78" s="116" customFormat="1" ht="24" customHeight="1">
      <c r="A73" s="428">
        <v>21</v>
      </c>
      <c r="B73" s="430" t="s">
        <v>24</v>
      </c>
      <c r="C73" s="428">
        <v>3102.75</v>
      </c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205"/>
      <c r="P73" s="205"/>
      <c r="Q73" s="205"/>
      <c r="R73" s="205"/>
      <c r="S73" s="205"/>
      <c r="T73" s="205"/>
      <c r="U73" s="61"/>
      <c r="V73" s="61"/>
      <c r="W73" s="89"/>
      <c r="X73" s="89"/>
      <c r="Y73" s="89"/>
      <c r="Z73" s="89"/>
      <c r="AA73" s="89"/>
      <c r="AB73" s="89">
        <v>2</v>
      </c>
      <c r="AC73" s="89" t="s">
        <v>273</v>
      </c>
      <c r="AD73" s="61"/>
      <c r="AE73" s="61"/>
      <c r="AF73" s="61"/>
      <c r="AG73" s="61"/>
      <c r="AH73" s="61"/>
      <c r="AI73" s="428"/>
      <c r="AJ73" s="457"/>
      <c r="AK73" s="428"/>
      <c r="AL73" s="457"/>
      <c r="AM73" s="61"/>
      <c r="AN73" s="61"/>
      <c r="AO73" s="457" t="s">
        <v>248</v>
      </c>
      <c r="AP73" s="428"/>
      <c r="AQ73" s="61"/>
      <c r="AR73" s="61"/>
      <c r="AS73" s="428"/>
      <c r="AT73" s="457"/>
      <c r="AU73" s="89" t="s">
        <v>212</v>
      </c>
      <c r="AV73" s="89" t="s">
        <v>197</v>
      </c>
      <c r="AW73" s="61">
        <v>5</v>
      </c>
      <c r="AX73" s="71"/>
      <c r="AY73" s="457" t="s">
        <v>248</v>
      </c>
      <c r="AZ73" s="89"/>
      <c r="BA73" s="103"/>
      <c r="BB73" s="89"/>
      <c r="BC73" s="89" t="s">
        <v>197</v>
      </c>
      <c r="BD73" s="61">
        <v>1</v>
      </c>
      <c r="BE73" s="89" t="s">
        <v>356</v>
      </c>
      <c r="BF73" s="61"/>
      <c r="BG73" s="61"/>
      <c r="BH73" s="89"/>
      <c r="BI73" s="89"/>
      <c r="BJ73" s="104"/>
      <c r="BK73" s="96"/>
      <c r="BL73" s="96"/>
      <c r="BM73" s="417"/>
      <c r="BN73" s="459"/>
      <c r="BO73" s="451"/>
      <c r="BP73" s="220"/>
      <c r="BQ73" s="487" t="s">
        <v>248</v>
      </c>
      <c r="BR73" s="134"/>
      <c r="BS73" s="134"/>
      <c r="BT73" s="326"/>
      <c r="BU73" s="326"/>
      <c r="BV73" s="96"/>
      <c r="BW73" s="342"/>
      <c r="BX73" s="459"/>
      <c r="BY73" s="459"/>
      <c r="BZ73" s="451"/>
    </row>
    <row r="74" spans="1:78" s="116" customFormat="1" ht="24" customHeight="1">
      <c r="A74" s="447"/>
      <c r="B74" s="500"/>
      <c r="C74" s="447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205"/>
      <c r="P74" s="205"/>
      <c r="Q74" s="205"/>
      <c r="R74" s="205"/>
      <c r="S74" s="205"/>
      <c r="T74" s="205"/>
      <c r="U74" s="61"/>
      <c r="V74" s="61"/>
      <c r="W74" s="89"/>
      <c r="X74" s="89"/>
      <c r="Y74" s="89"/>
      <c r="Z74" s="89"/>
      <c r="AA74" s="89"/>
      <c r="AB74" s="89"/>
      <c r="AC74" s="89"/>
      <c r="AD74" s="61"/>
      <c r="AE74" s="61"/>
      <c r="AF74" s="61"/>
      <c r="AG74" s="61"/>
      <c r="AH74" s="61"/>
      <c r="AI74" s="447"/>
      <c r="AJ74" s="458"/>
      <c r="AK74" s="447"/>
      <c r="AL74" s="458"/>
      <c r="AM74" s="61"/>
      <c r="AN74" s="61"/>
      <c r="AO74" s="458"/>
      <c r="AP74" s="447"/>
      <c r="AQ74" s="61"/>
      <c r="AR74" s="61"/>
      <c r="AS74" s="447"/>
      <c r="AT74" s="458"/>
      <c r="AU74" s="89"/>
      <c r="AV74" s="89"/>
      <c r="AW74" s="61"/>
      <c r="AX74" s="272"/>
      <c r="AY74" s="458"/>
      <c r="AZ74" s="89"/>
      <c r="BA74" s="103"/>
      <c r="BB74" s="89"/>
      <c r="BC74" s="89" t="s">
        <v>206</v>
      </c>
      <c r="BD74" s="61">
        <v>5</v>
      </c>
      <c r="BE74" s="89" t="s">
        <v>356</v>
      </c>
      <c r="BF74" s="61"/>
      <c r="BG74" s="61"/>
      <c r="BH74" s="89"/>
      <c r="BI74" s="89"/>
      <c r="BJ74" s="104"/>
      <c r="BK74" s="96"/>
      <c r="BL74" s="96"/>
      <c r="BM74" s="418"/>
      <c r="BN74" s="460"/>
      <c r="BO74" s="470"/>
      <c r="BP74" s="224"/>
      <c r="BQ74" s="533"/>
      <c r="BR74" s="134"/>
      <c r="BS74" s="134"/>
      <c r="BT74" s="326"/>
      <c r="BU74" s="326"/>
      <c r="BV74" s="96"/>
      <c r="BW74" s="347"/>
      <c r="BX74" s="460"/>
      <c r="BY74" s="460"/>
      <c r="BZ74" s="470"/>
    </row>
    <row r="75" spans="1:78" s="116" customFormat="1" ht="24.75" customHeight="1">
      <c r="A75" s="432"/>
      <c r="B75" s="500"/>
      <c r="C75" s="432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204"/>
      <c r="P75" s="204"/>
      <c r="Q75" s="204"/>
      <c r="R75" s="204"/>
      <c r="S75" s="204"/>
      <c r="T75" s="204"/>
      <c r="U75" s="61"/>
      <c r="V75" s="61"/>
      <c r="W75" s="89"/>
      <c r="X75" s="89"/>
      <c r="Y75" s="89"/>
      <c r="Z75" s="89"/>
      <c r="AA75" s="89"/>
      <c r="AB75" s="89"/>
      <c r="AC75" s="89"/>
      <c r="AD75" s="61"/>
      <c r="AE75" s="61"/>
      <c r="AF75" s="61"/>
      <c r="AG75" s="89"/>
      <c r="AH75" s="89"/>
      <c r="AI75" s="429"/>
      <c r="AJ75" s="429"/>
      <c r="AK75" s="429"/>
      <c r="AL75" s="429"/>
      <c r="AM75" s="61"/>
      <c r="AN75" s="89"/>
      <c r="AO75" s="432"/>
      <c r="AP75" s="429"/>
      <c r="AQ75" s="61"/>
      <c r="AR75" s="61"/>
      <c r="AS75" s="429"/>
      <c r="AT75" s="429"/>
      <c r="AU75" s="61"/>
      <c r="AV75" s="61"/>
      <c r="AW75" s="61"/>
      <c r="AX75" s="272"/>
      <c r="AY75" s="432"/>
      <c r="AZ75" s="89"/>
      <c r="BA75" s="103"/>
      <c r="BB75" s="89"/>
      <c r="BC75" s="61"/>
      <c r="BD75" s="61"/>
      <c r="BE75" s="61"/>
      <c r="BF75" s="61"/>
      <c r="BG75" s="61"/>
      <c r="BH75" s="61"/>
      <c r="BI75" s="61"/>
      <c r="BJ75" s="96"/>
      <c r="BK75" s="96"/>
      <c r="BL75" s="96"/>
      <c r="BM75" s="118"/>
      <c r="BN75" s="461"/>
      <c r="BO75" s="453"/>
      <c r="BP75" s="292"/>
      <c r="BQ75" s="488"/>
      <c r="BR75" s="134"/>
      <c r="BS75" s="134"/>
      <c r="BT75" s="326"/>
      <c r="BU75" s="326"/>
      <c r="BV75" s="96"/>
      <c r="BW75" s="343"/>
      <c r="BX75" s="461"/>
      <c r="BY75" s="461"/>
      <c r="BZ75" s="471"/>
    </row>
    <row r="76" spans="1:78" s="24" customFormat="1" ht="21.75" customHeight="1">
      <c r="A76" s="433">
        <v>22</v>
      </c>
      <c r="B76" s="441" t="s">
        <v>25</v>
      </c>
      <c r="C76" s="433">
        <v>2465.1</v>
      </c>
      <c r="D76" s="35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34"/>
      <c r="P76" s="34"/>
      <c r="Q76" s="34"/>
      <c r="R76" s="34"/>
      <c r="S76" s="34"/>
      <c r="T76" s="34"/>
      <c r="U76" s="10"/>
      <c r="V76" s="10"/>
      <c r="W76" s="35" t="s">
        <v>242</v>
      </c>
      <c r="X76" s="35"/>
      <c r="Y76" s="35"/>
      <c r="Z76" s="10"/>
      <c r="AA76" s="10"/>
      <c r="AB76" s="10"/>
      <c r="AC76" s="10"/>
      <c r="AD76" s="10"/>
      <c r="AE76" s="10">
        <v>18</v>
      </c>
      <c r="AF76" s="35" t="s">
        <v>253</v>
      </c>
      <c r="AG76" s="10"/>
      <c r="AH76" s="10"/>
      <c r="AI76" s="433">
        <v>2</v>
      </c>
      <c r="AJ76" s="469"/>
      <c r="AK76" s="433"/>
      <c r="AL76" s="469"/>
      <c r="AM76" s="10"/>
      <c r="AN76" s="10"/>
      <c r="AO76" s="469" t="s">
        <v>248</v>
      </c>
      <c r="AP76" s="433"/>
      <c r="AQ76" s="35" t="s">
        <v>201</v>
      </c>
      <c r="AR76" s="10">
        <v>2</v>
      </c>
      <c r="AS76" s="433"/>
      <c r="AT76" s="433"/>
      <c r="AU76" s="35" t="s">
        <v>202</v>
      </c>
      <c r="AV76" s="35" t="s">
        <v>243</v>
      </c>
      <c r="AW76" s="35">
        <v>6</v>
      </c>
      <c r="AX76" s="56"/>
      <c r="AY76" s="469" t="s">
        <v>248</v>
      </c>
      <c r="AZ76" s="35" t="s">
        <v>201</v>
      </c>
      <c r="BA76" s="35">
        <v>1</v>
      </c>
      <c r="BB76" s="35" t="s">
        <v>284</v>
      </c>
      <c r="BC76" s="35" t="s">
        <v>206</v>
      </c>
      <c r="BD76" s="10">
        <v>3</v>
      </c>
      <c r="BE76" s="35" t="s">
        <v>215</v>
      </c>
      <c r="BF76" s="35"/>
      <c r="BG76" s="35"/>
      <c r="BH76" s="35"/>
      <c r="BI76" s="35"/>
      <c r="BJ76" s="106"/>
      <c r="BK76" s="40"/>
      <c r="BL76" s="40"/>
      <c r="BM76" s="77"/>
      <c r="BN76" s="448"/>
      <c r="BO76" s="448"/>
      <c r="BP76" s="112"/>
      <c r="BQ76" s="529" t="s">
        <v>248</v>
      </c>
      <c r="BR76" s="403"/>
      <c r="BS76" s="403"/>
      <c r="BT76" s="325"/>
      <c r="BU76" s="325"/>
      <c r="BV76" s="40"/>
      <c r="BW76" s="340"/>
      <c r="BX76" s="462"/>
      <c r="BY76" s="462"/>
      <c r="BZ76" s="448"/>
    </row>
    <row r="77" spans="1:78" s="24" customFormat="1" ht="12" customHeight="1">
      <c r="A77" s="434"/>
      <c r="B77" s="502"/>
      <c r="C77" s="434"/>
      <c r="D77" s="35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208"/>
      <c r="P77" s="208"/>
      <c r="Q77" s="208"/>
      <c r="R77" s="208"/>
      <c r="S77" s="208"/>
      <c r="T77" s="208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434"/>
      <c r="AJ77" s="434"/>
      <c r="AK77" s="434"/>
      <c r="AL77" s="434"/>
      <c r="AM77" s="10"/>
      <c r="AN77" s="10"/>
      <c r="AO77" s="434"/>
      <c r="AP77" s="434"/>
      <c r="AQ77" s="10"/>
      <c r="AR77" s="10"/>
      <c r="AS77" s="434"/>
      <c r="AT77" s="434"/>
      <c r="AU77" s="35" t="s">
        <v>202</v>
      </c>
      <c r="AV77" s="35" t="s">
        <v>201</v>
      </c>
      <c r="AW77" s="10">
        <v>1</v>
      </c>
      <c r="AX77" s="58"/>
      <c r="AY77" s="472"/>
      <c r="AZ77" s="35" t="s">
        <v>199</v>
      </c>
      <c r="BA77" s="35">
        <v>16</v>
      </c>
      <c r="BB77" s="35" t="s">
        <v>284</v>
      </c>
      <c r="BC77" s="10"/>
      <c r="BD77" s="10"/>
      <c r="BE77" s="9"/>
      <c r="BF77" s="9"/>
      <c r="BG77" s="9"/>
      <c r="BH77" s="10"/>
      <c r="BI77" s="10"/>
      <c r="BJ77" s="40"/>
      <c r="BK77" s="40"/>
      <c r="BL77" s="40"/>
      <c r="BM77" s="414"/>
      <c r="BN77" s="449"/>
      <c r="BO77" s="449"/>
      <c r="BP77" s="370"/>
      <c r="BQ77" s="534"/>
      <c r="BR77" s="403"/>
      <c r="BS77" s="403"/>
      <c r="BT77" s="325"/>
      <c r="BU77" s="325"/>
      <c r="BV77" s="40"/>
      <c r="BW77" s="349"/>
      <c r="BX77" s="463"/>
      <c r="BY77" s="463"/>
      <c r="BZ77" s="474"/>
    </row>
    <row r="78" spans="1:78" s="24" customFormat="1" ht="12" customHeight="1">
      <c r="A78" s="434"/>
      <c r="B78" s="502"/>
      <c r="C78" s="434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208"/>
      <c r="P78" s="208"/>
      <c r="Q78" s="208"/>
      <c r="R78" s="208"/>
      <c r="S78" s="208"/>
      <c r="T78" s="208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434"/>
      <c r="AJ78" s="434"/>
      <c r="AK78" s="434"/>
      <c r="AL78" s="434"/>
      <c r="AM78" s="13"/>
      <c r="AN78" s="10"/>
      <c r="AO78" s="434"/>
      <c r="AP78" s="434"/>
      <c r="AQ78" s="10"/>
      <c r="AR78" s="10"/>
      <c r="AS78" s="434"/>
      <c r="AT78" s="434"/>
      <c r="AU78" s="35" t="s">
        <v>202</v>
      </c>
      <c r="AV78" s="35" t="s">
        <v>229</v>
      </c>
      <c r="AW78" s="10">
        <v>5</v>
      </c>
      <c r="AX78" s="58"/>
      <c r="AY78" s="472"/>
      <c r="AZ78" s="35" t="s">
        <v>197</v>
      </c>
      <c r="BA78" s="35">
        <v>2</v>
      </c>
      <c r="BB78" s="35" t="s">
        <v>196</v>
      </c>
      <c r="BC78" s="10"/>
      <c r="BD78" s="10"/>
      <c r="BE78" s="10"/>
      <c r="BF78" s="10"/>
      <c r="BG78" s="10"/>
      <c r="BH78" s="10"/>
      <c r="BI78" s="10"/>
      <c r="BJ78" s="40"/>
      <c r="BK78" s="40"/>
      <c r="BL78" s="40"/>
      <c r="BM78" s="414"/>
      <c r="BN78" s="449"/>
      <c r="BO78" s="449"/>
      <c r="BP78" s="370"/>
      <c r="BQ78" s="534"/>
      <c r="BR78" s="403"/>
      <c r="BS78" s="403"/>
      <c r="BT78" s="325"/>
      <c r="BU78" s="325"/>
      <c r="BV78" s="40"/>
      <c r="BW78" s="349"/>
      <c r="BX78" s="463"/>
      <c r="BY78" s="463"/>
      <c r="BZ78" s="474"/>
    </row>
    <row r="79" spans="1:78" s="24" customFormat="1" ht="12" customHeight="1">
      <c r="A79" s="434"/>
      <c r="B79" s="502"/>
      <c r="C79" s="434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208"/>
      <c r="P79" s="208"/>
      <c r="Q79" s="208"/>
      <c r="R79" s="208"/>
      <c r="S79" s="208"/>
      <c r="T79" s="208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434"/>
      <c r="AJ79" s="434"/>
      <c r="AK79" s="434"/>
      <c r="AL79" s="434"/>
      <c r="AM79" s="13"/>
      <c r="AN79" s="10"/>
      <c r="AO79" s="434"/>
      <c r="AP79" s="434"/>
      <c r="AQ79" s="10"/>
      <c r="AR79" s="10"/>
      <c r="AS79" s="434"/>
      <c r="AT79" s="434"/>
      <c r="AU79" s="35" t="s">
        <v>202</v>
      </c>
      <c r="AV79" s="35" t="s">
        <v>208</v>
      </c>
      <c r="AW79" s="10">
        <v>3</v>
      </c>
      <c r="AX79" s="58"/>
      <c r="AY79" s="472"/>
      <c r="AZ79" s="35" t="s">
        <v>201</v>
      </c>
      <c r="BA79" s="35">
        <v>12</v>
      </c>
      <c r="BB79" s="35" t="s">
        <v>383</v>
      </c>
      <c r="BC79" s="10"/>
      <c r="BD79" s="10"/>
      <c r="BE79" s="10"/>
      <c r="BF79" s="10"/>
      <c r="BG79" s="10"/>
      <c r="BH79" s="10"/>
      <c r="BI79" s="10"/>
      <c r="BJ79" s="40"/>
      <c r="BK79" s="40"/>
      <c r="BL79" s="40"/>
      <c r="BM79" s="414"/>
      <c r="BN79" s="449"/>
      <c r="BO79" s="449"/>
      <c r="BP79" s="370"/>
      <c r="BQ79" s="534"/>
      <c r="BR79" s="403"/>
      <c r="BS79" s="403"/>
      <c r="BT79" s="325"/>
      <c r="BU79" s="325"/>
      <c r="BV79" s="40"/>
      <c r="BW79" s="349"/>
      <c r="BX79" s="463"/>
      <c r="BY79" s="463"/>
      <c r="BZ79" s="474"/>
    </row>
    <row r="80" spans="1:78" s="24" customFormat="1" ht="12" customHeight="1">
      <c r="A80" s="434"/>
      <c r="B80" s="502"/>
      <c r="C80" s="434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208"/>
      <c r="P80" s="208"/>
      <c r="Q80" s="208"/>
      <c r="R80" s="208"/>
      <c r="S80" s="208"/>
      <c r="T80" s="208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434"/>
      <c r="AJ80" s="434"/>
      <c r="AK80" s="434"/>
      <c r="AL80" s="434"/>
      <c r="AM80" s="13"/>
      <c r="AN80" s="10"/>
      <c r="AO80" s="434"/>
      <c r="AP80" s="434"/>
      <c r="AQ80" s="10"/>
      <c r="AR80" s="10"/>
      <c r="AS80" s="434"/>
      <c r="AT80" s="434"/>
      <c r="AU80" s="35" t="s">
        <v>202</v>
      </c>
      <c r="AV80" s="35" t="s">
        <v>251</v>
      </c>
      <c r="AW80" s="10">
        <v>10</v>
      </c>
      <c r="AX80" s="58"/>
      <c r="AY80" s="472"/>
      <c r="AZ80" s="35"/>
      <c r="BA80" s="35"/>
      <c r="BB80" s="35"/>
      <c r="BC80" s="10"/>
      <c r="BD80" s="10"/>
      <c r="BE80" s="10"/>
      <c r="BF80" s="10"/>
      <c r="BG80" s="10"/>
      <c r="BH80" s="10"/>
      <c r="BI80" s="10"/>
      <c r="BJ80" s="40"/>
      <c r="BK80" s="40"/>
      <c r="BL80" s="40"/>
      <c r="BM80" s="414"/>
      <c r="BN80" s="449"/>
      <c r="BO80" s="449"/>
      <c r="BP80" s="370"/>
      <c r="BQ80" s="534"/>
      <c r="BR80" s="403"/>
      <c r="BS80" s="403"/>
      <c r="BT80" s="325"/>
      <c r="BU80" s="325"/>
      <c r="BV80" s="40"/>
      <c r="BW80" s="349"/>
      <c r="BX80" s="463"/>
      <c r="BY80" s="463"/>
      <c r="BZ80" s="474"/>
    </row>
    <row r="81" spans="1:78" s="24" customFormat="1" ht="12" customHeight="1">
      <c r="A81" s="434"/>
      <c r="B81" s="502"/>
      <c r="C81" s="434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208"/>
      <c r="P81" s="208"/>
      <c r="Q81" s="208"/>
      <c r="R81" s="208"/>
      <c r="S81" s="208"/>
      <c r="T81" s="208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434"/>
      <c r="AJ81" s="434"/>
      <c r="AK81" s="434"/>
      <c r="AL81" s="434"/>
      <c r="AM81" s="13"/>
      <c r="AN81" s="10"/>
      <c r="AO81" s="434"/>
      <c r="AP81" s="434"/>
      <c r="AQ81" s="10"/>
      <c r="AR81" s="10"/>
      <c r="AS81" s="434"/>
      <c r="AT81" s="434"/>
      <c r="AU81" s="35" t="s">
        <v>202</v>
      </c>
      <c r="AV81" s="35" t="s">
        <v>229</v>
      </c>
      <c r="AW81" s="10">
        <v>11</v>
      </c>
      <c r="AX81" s="58"/>
      <c r="AY81" s="472"/>
      <c r="AZ81" s="35"/>
      <c r="BA81" s="35"/>
      <c r="BB81" s="35"/>
      <c r="BC81" s="10"/>
      <c r="BD81" s="10"/>
      <c r="BE81" s="10"/>
      <c r="BF81" s="10"/>
      <c r="BG81" s="10"/>
      <c r="BH81" s="10"/>
      <c r="BI81" s="10"/>
      <c r="BJ81" s="40"/>
      <c r="BK81" s="40"/>
      <c r="BL81" s="40"/>
      <c r="BM81" s="414"/>
      <c r="BN81" s="449"/>
      <c r="BO81" s="449"/>
      <c r="BP81" s="370"/>
      <c r="BQ81" s="534"/>
      <c r="BR81" s="403"/>
      <c r="BS81" s="403"/>
      <c r="BT81" s="325"/>
      <c r="BU81" s="325"/>
      <c r="BV81" s="40"/>
      <c r="BW81" s="349"/>
      <c r="BX81" s="463"/>
      <c r="BY81" s="463"/>
      <c r="BZ81" s="474"/>
    </row>
    <row r="82" spans="1:78" s="24" customFormat="1" ht="12" customHeight="1">
      <c r="A82" s="434"/>
      <c r="B82" s="502"/>
      <c r="C82" s="434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208"/>
      <c r="P82" s="208"/>
      <c r="Q82" s="208"/>
      <c r="R82" s="208"/>
      <c r="S82" s="208"/>
      <c r="T82" s="208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434"/>
      <c r="AJ82" s="434"/>
      <c r="AK82" s="434"/>
      <c r="AL82" s="434"/>
      <c r="AM82" s="13"/>
      <c r="AN82" s="10"/>
      <c r="AO82" s="434"/>
      <c r="AP82" s="434"/>
      <c r="AQ82" s="10"/>
      <c r="AR82" s="10"/>
      <c r="AS82" s="434"/>
      <c r="AT82" s="434"/>
      <c r="AU82" s="35" t="s">
        <v>202</v>
      </c>
      <c r="AV82" s="35" t="s">
        <v>199</v>
      </c>
      <c r="AW82" s="10">
        <v>3</v>
      </c>
      <c r="AX82" s="58"/>
      <c r="AY82" s="472"/>
      <c r="AZ82" s="35"/>
      <c r="BA82" s="35"/>
      <c r="BB82" s="35"/>
      <c r="BC82" s="10"/>
      <c r="BD82" s="10"/>
      <c r="BE82" s="10"/>
      <c r="BF82" s="10"/>
      <c r="BG82" s="10"/>
      <c r="BH82" s="10"/>
      <c r="BI82" s="10"/>
      <c r="BJ82" s="40"/>
      <c r="BK82" s="40"/>
      <c r="BL82" s="40"/>
      <c r="BM82" s="414"/>
      <c r="BN82" s="449"/>
      <c r="BO82" s="449"/>
      <c r="BP82" s="370"/>
      <c r="BQ82" s="534"/>
      <c r="BR82" s="403"/>
      <c r="BS82" s="403"/>
      <c r="BT82" s="325"/>
      <c r="BU82" s="325"/>
      <c r="BV82" s="40"/>
      <c r="BW82" s="349"/>
      <c r="BX82" s="463"/>
      <c r="BY82" s="463"/>
      <c r="BZ82" s="474"/>
    </row>
    <row r="83" spans="1:78" s="24" customFormat="1" ht="12" customHeight="1">
      <c r="A83" s="434"/>
      <c r="B83" s="502"/>
      <c r="C83" s="434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208"/>
      <c r="P83" s="208"/>
      <c r="Q83" s="208"/>
      <c r="R83" s="208"/>
      <c r="S83" s="208"/>
      <c r="T83" s="208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435"/>
      <c r="AJ83" s="435"/>
      <c r="AK83" s="435"/>
      <c r="AL83" s="435"/>
      <c r="AM83" s="13"/>
      <c r="AN83" s="10"/>
      <c r="AO83" s="434"/>
      <c r="AP83" s="435"/>
      <c r="AQ83" s="10"/>
      <c r="AR83" s="10"/>
      <c r="AS83" s="435"/>
      <c r="AT83" s="435"/>
      <c r="AU83" s="10"/>
      <c r="AV83" s="10"/>
      <c r="AW83" s="10"/>
      <c r="AX83" s="58"/>
      <c r="AY83" s="472"/>
      <c r="AZ83" s="35"/>
      <c r="BA83" s="35"/>
      <c r="BB83" s="35"/>
      <c r="BC83" s="10"/>
      <c r="BD83" s="10"/>
      <c r="BE83" s="10"/>
      <c r="BF83" s="10"/>
      <c r="BG83" s="10"/>
      <c r="BH83" s="10"/>
      <c r="BI83" s="10"/>
      <c r="BJ83" s="40"/>
      <c r="BK83" s="40"/>
      <c r="BL83" s="40"/>
      <c r="BM83" s="78"/>
      <c r="BN83" s="450"/>
      <c r="BO83" s="450"/>
      <c r="BP83" s="371"/>
      <c r="BQ83" s="530"/>
      <c r="BR83" s="403"/>
      <c r="BS83" s="403"/>
      <c r="BT83" s="325"/>
      <c r="BU83" s="325"/>
      <c r="BV83" s="40"/>
      <c r="BW83" s="341"/>
      <c r="BX83" s="464"/>
      <c r="BY83" s="464"/>
      <c r="BZ83" s="475"/>
    </row>
    <row r="84" spans="1:78" s="116" customFormat="1" ht="36.75" customHeight="1">
      <c r="A84" s="428">
        <v>23</v>
      </c>
      <c r="B84" s="503" t="s">
        <v>26</v>
      </c>
      <c r="C84" s="428">
        <v>3450.5</v>
      </c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72"/>
      <c r="O84" s="111"/>
      <c r="P84" s="111"/>
      <c r="Q84" s="111"/>
      <c r="R84" s="111"/>
      <c r="S84" s="111"/>
      <c r="T84" s="111"/>
      <c r="U84" s="61"/>
      <c r="V84" s="61"/>
      <c r="W84" s="61"/>
      <c r="X84" s="61"/>
      <c r="Y84" s="61"/>
      <c r="Z84" s="61"/>
      <c r="AA84" s="61"/>
      <c r="AB84" s="61">
        <v>3</v>
      </c>
      <c r="AC84" s="89" t="s">
        <v>320</v>
      </c>
      <c r="AD84" s="61"/>
      <c r="AE84" s="61">
        <v>15</v>
      </c>
      <c r="AF84" s="89" t="s">
        <v>312</v>
      </c>
      <c r="AG84" s="61"/>
      <c r="AH84" s="61"/>
      <c r="AI84" s="428"/>
      <c r="AJ84" s="428"/>
      <c r="AK84" s="428"/>
      <c r="AL84" s="457"/>
      <c r="AM84" s="72"/>
      <c r="AN84" s="61"/>
      <c r="AO84" s="457" t="s">
        <v>248</v>
      </c>
      <c r="AP84" s="428"/>
      <c r="AQ84" s="89"/>
      <c r="AR84" s="61"/>
      <c r="AS84" s="428"/>
      <c r="AT84" s="457"/>
      <c r="AU84" s="89"/>
      <c r="AV84" s="89"/>
      <c r="AW84" s="61"/>
      <c r="AX84" s="71"/>
      <c r="AY84" s="457" t="s">
        <v>248</v>
      </c>
      <c r="AZ84" s="89" t="s">
        <v>199</v>
      </c>
      <c r="BA84" s="89">
        <v>12</v>
      </c>
      <c r="BB84" s="89" t="s">
        <v>288</v>
      </c>
      <c r="BC84" s="89" t="s">
        <v>206</v>
      </c>
      <c r="BD84" s="61">
        <v>4</v>
      </c>
      <c r="BE84" s="89" t="s">
        <v>288</v>
      </c>
      <c r="BF84" s="89"/>
      <c r="BG84" s="89"/>
      <c r="BH84" s="89"/>
      <c r="BI84" s="61"/>
      <c r="BJ84" s="104"/>
      <c r="BK84" s="96"/>
      <c r="BL84" s="96"/>
      <c r="BM84" s="417"/>
      <c r="BN84" s="459"/>
      <c r="BO84" s="451"/>
      <c r="BP84" s="220"/>
      <c r="BQ84" s="487" t="s">
        <v>248</v>
      </c>
      <c r="BR84" s="104" t="s">
        <v>387</v>
      </c>
      <c r="BS84" s="104" t="s">
        <v>388</v>
      </c>
      <c r="BT84" s="326"/>
      <c r="BU84" s="326"/>
      <c r="BV84" s="96"/>
      <c r="BW84" s="359" t="s">
        <v>242</v>
      </c>
      <c r="BX84" s="459"/>
      <c r="BY84" s="459"/>
      <c r="BZ84" s="451"/>
    </row>
    <row r="85" spans="1:78" s="116" customFormat="1" ht="23.25" customHeight="1">
      <c r="A85" s="432"/>
      <c r="B85" s="504"/>
      <c r="C85" s="432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72"/>
      <c r="O85" s="111"/>
      <c r="P85" s="111"/>
      <c r="Q85" s="111"/>
      <c r="R85" s="111"/>
      <c r="S85" s="111"/>
      <c r="T85" s="11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89">
        <v>12</v>
      </c>
      <c r="AF85" s="89" t="s">
        <v>312</v>
      </c>
      <c r="AG85" s="61"/>
      <c r="AH85" s="61"/>
      <c r="AI85" s="432"/>
      <c r="AJ85" s="432"/>
      <c r="AK85" s="432"/>
      <c r="AL85" s="432"/>
      <c r="AM85" s="72"/>
      <c r="AN85" s="61"/>
      <c r="AO85" s="458"/>
      <c r="AP85" s="432"/>
      <c r="AQ85" s="89"/>
      <c r="AR85" s="61"/>
      <c r="AS85" s="432"/>
      <c r="AT85" s="432"/>
      <c r="AU85" s="89"/>
      <c r="AV85" s="89"/>
      <c r="AW85" s="61"/>
      <c r="AX85" s="272"/>
      <c r="AY85" s="458"/>
      <c r="AZ85" s="89"/>
      <c r="BA85" s="89"/>
      <c r="BB85" s="89"/>
      <c r="BC85" s="89"/>
      <c r="BD85" s="61"/>
      <c r="BE85" s="89"/>
      <c r="BF85" s="89"/>
      <c r="BG85" s="89"/>
      <c r="BH85" s="61"/>
      <c r="BI85" s="61"/>
      <c r="BJ85" s="96"/>
      <c r="BK85" s="96"/>
      <c r="BL85" s="96"/>
      <c r="BM85" s="418"/>
      <c r="BN85" s="460"/>
      <c r="BO85" s="452"/>
      <c r="BP85" s="293"/>
      <c r="BQ85" s="533"/>
      <c r="BR85" s="134"/>
      <c r="BS85" s="134"/>
      <c r="BT85" s="326"/>
      <c r="BU85" s="326"/>
      <c r="BV85" s="96"/>
      <c r="BW85" s="347"/>
      <c r="BX85" s="460"/>
      <c r="BY85" s="460"/>
      <c r="BZ85" s="470"/>
    </row>
    <row r="86" spans="1:78" s="116" customFormat="1" ht="24" customHeight="1">
      <c r="A86" s="432"/>
      <c r="B86" s="504"/>
      <c r="C86" s="432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72"/>
      <c r="O86" s="101"/>
      <c r="P86" s="101"/>
      <c r="Q86" s="101"/>
      <c r="R86" s="101"/>
      <c r="S86" s="101"/>
      <c r="T86" s="10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89">
        <v>14</v>
      </c>
      <c r="AF86" s="89" t="s">
        <v>362</v>
      </c>
      <c r="AG86" s="61"/>
      <c r="AH86" s="61"/>
      <c r="AI86" s="432"/>
      <c r="AJ86" s="432"/>
      <c r="AK86" s="432"/>
      <c r="AL86" s="432"/>
      <c r="AM86" s="72"/>
      <c r="AN86" s="61"/>
      <c r="AO86" s="458"/>
      <c r="AP86" s="432"/>
      <c r="AQ86" s="61"/>
      <c r="AR86" s="61"/>
      <c r="AS86" s="432"/>
      <c r="AT86" s="432"/>
      <c r="AU86" s="89"/>
      <c r="AV86" s="89"/>
      <c r="AW86" s="61"/>
      <c r="AX86" s="272"/>
      <c r="AY86" s="458"/>
      <c r="AZ86" s="89"/>
      <c r="BA86" s="89"/>
      <c r="BB86" s="89"/>
      <c r="BC86" s="89"/>
      <c r="BD86" s="89"/>
      <c r="BE86" s="89"/>
      <c r="BF86" s="89"/>
      <c r="BG86" s="89"/>
      <c r="BH86" s="61"/>
      <c r="BI86" s="61"/>
      <c r="BJ86" s="96"/>
      <c r="BK86" s="96"/>
      <c r="BL86" s="96"/>
      <c r="BM86" s="418"/>
      <c r="BN86" s="460"/>
      <c r="BO86" s="452"/>
      <c r="BP86" s="293"/>
      <c r="BQ86" s="533"/>
      <c r="BR86" s="134"/>
      <c r="BS86" s="134"/>
      <c r="BT86" s="326"/>
      <c r="BU86" s="326"/>
      <c r="BV86" s="96"/>
      <c r="BW86" s="347"/>
      <c r="BX86" s="460"/>
      <c r="BY86" s="460"/>
      <c r="BZ86" s="470"/>
    </row>
    <row r="87" spans="1:78" s="116" customFormat="1" ht="38.25" customHeight="1">
      <c r="A87" s="429"/>
      <c r="B87" s="505"/>
      <c r="C87" s="429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89"/>
      <c r="P87" s="89"/>
      <c r="Q87" s="89"/>
      <c r="R87" s="89"/>
      <c r="S87" s="89"/>
      <c r="T87" s="89"/>
      <c r="U87" s="89"/>
      <c r="V87" s="61"/>
      <c r="W87" s="89"/>
      <c r="X87" s="89"/>
      <c r="Y87" s="89"/>
      <c r="Z87" s="89"/>
      <c r="AA87" s="89"/>
      <c r="AB87" s="89"/>
      <c r="AC87" s="89"/>
      <c r="AD87" s="89"/>
      <c r="AE87" s="89"/>
      <c r="AF87" s="89"/>
      <c r="AG87" s="61"/>
      <c r="AH87" s="61"/>
      <c r="AI87" s="429"/>
      <c r="AJ87" s="429"/>
      <c r="AK87" s="429"/>
      <c r="AL87" s="429"/>
      <c r="AM87" s="61"/>
      <c r="AN87" s="61"/>
      <c r="AO87" s="429"/>
      <c r="AP87" s="429"/>
      <c r="AQ87" s="61"/>
      <c r="AR87" s="61"/>
      <c r="AS87" s="429"/>
      <c r="AT87" s="429"/>
      <c r="AU87" s="61"/>
      <c r="AV87" s="61"/>
      <c r="AW87" s="61"/>
      <c r="AX87" s="72"/>
      <c r="AY87" s="473"/>
      <c r="AZ87" s="89"/>
      <c r="BA87" s="89"/>
      <c r="BB87" s="89"/>
      <c r="BC87" s="61"/>
      <c r="BD87" s="61"/>
      <c r="BE87" s="61"/>
      <c r="BF87" s="61"/>
      <c r="BG87" s="61"/>
      <c r="BH87" s="61"/>
      <c r="BI87" s="61"/>
      <c r="BJ87" s="96"/>
      <c r="BK87" s="96"/>
      <c r="BL87" s="96"/>
      <c r="BM87" s="118"/>
      <c r="BN87" s="461"/>
      <c r="BO87" s="453"/>
      <c r="BP87" s="292"/>
      <c r="BQ87" s="488"/>
      <c r="BR87" s="134"/>
      <c r="BS87" s="134"/>
      <c r="BT87" s="326"/>
      <c r="BU87" s="326"/>
      <c r="BV87" s="96"/>
      <c r="BW87" s="343"/>
      <c r="BX87" s="461"/>
      <c r="BY87" s="461"/>
      <c r="BZ87" s="453"/>
    </row>
    <row r="88" spans="1:78" s="24" customFormat="1" ht="45.75" customHeight="1">
      <c r="A88" s="433">
        <v>24</v>
      </c>
      <c r="B88" s="441" t="s">
        <v>27</v>
      </c>
      <c r="C88" s="433">
        <v>3443.3</v>
      </c>
      <c r="D88" s="35"/>
      <c r="E88" s="10"/>
      <c r="F88" s="57"/>
      <c r="G88" s="57"/>
      <c r="H88" s="57"/>
      <c r="I88" s="57"/>
      <c r="J88" s="57"/>
      <c r="K88" s="57"/>
      <c r="L88" s="57"/>
      <c r="M88" s="57"/>
      <c r="N88" s="57"/>
      <c r="O88" s="35"/>
      <c r="P88" s="35"/>
      <c r="Q88" s="35"/>
      <c r="R88" s="35"/>
      <c r="S88" s="35"/>
      <c r="T88" s="35"/>
      <c r="U88" s="35"/>
      <c r="V88" s="10"/>
      <c r="W88" s="10"/>
      <c r="X88" s="10"/>
      <c r="Y88" s="10"/>
      <c r="Z88" s="10"/>
      <c r="AA88" s="10"/>
      <c r="AB88" s="10">
        <v>3</v>
      </c>
      <c r="AC88" s="35" t="s">
        <v>320</v>
      </c>
      <c r="AD88" s="10"/>
      <c r="AE88" s="35">
        <v>60</v>
      </c>
      <c r="AF88" s="35" t="s">
        <v>256</v>
      </c>
      <c r="AG88" s="35"/>
      <c r="AH88" s="35"/>
      <c r="AI88" s="433">
        <v>1</v>
      </c>
      <c r="AJ88" s="433"/>
      <c r="AK88" s="469"/>
      <c r="AL88" s="467"/>
      <c r="AM88" s="10"/>
      <c r="AN88" s="10"/>
      <c r="AO88" s="516" t="s">
        <v>248</v>
      </c>
      <c r="AP88" s="433"/>
      <c r="AQ88" s="10"/>
      <c r="AR88" s="10"/>
      <c r="AS88" s="433"/>
      <c r="AT88" s="469"/>
      <c r="AU88" s="10"/>
      <c r="AV88" s="10"/>
      <c r="AW88" s="10"/>
      <c r="AX88" s="57"/>
      <c r="AY88" s="469" t="s">
        <v>248</v>
      </c>
      <c r="AZ88" s="35" t="s">
        <v>201</v>
      </c>
      <c r="BA88" s="35">
        <v>6</v>
      </c>
      <c r="BB88" s="35" t="s">
        <v>216</v>
      </c>
      <c r="BC88" s="35" t="s">
        <v>206</v>
      </c>
      <c r="BD88" s="10">
        <v>3</v>
      </c>
      <c r="BE88" s="35" t="s">
        <v>285</v>
      </c>
      <c r="BF88" s="10"/>
      <c r="BG88" s="10"/>
      <c r="BH88" s="10"/>
      <c r="BI88" s="10"/>
      <c r="BJ88" s="40"/>
      <c r="BK88" s="40"/>
      <c r="BL88" s="40"/>
      <c r="BM88" s="77"/>
      <c r="BN88" s="462"/>
      <c r="BO88" s="448"/>
      <c r="BP88" s="112"/>
      <c r="BQ88" s="529" t="s">
        <v>248</v>
      </c>
      <c r="BR88" s="106" t="s">
        <v>330</v>
      </c>
      <c r="BS88" s="106" t="s">
        <v>331</v>
      </c>
      <c r="BT88" s="325"/>
      <c r="BU88" s="325"/>
      <c r="BV88" s="40"/>
      <c r="BW88" s="358" t="s">
        <v>242</v>
      </c>
      <c r="BX88" s="462"/>
      <c r="BY88" s="462"/>
      <c r="BZ88" s="448"/>
    </row>
    <row r="89" spans="1:78" s="24" customFormat="1" ht="34.5" customHeight="1">
      <c r="A89" s="512"/>
      <c r="B89" s="511"/>
      <c r="C89" s="434"/>
      <c r="D89" s="10"/>
      <c r="E89" s="10"/>
      <c r="F89" s="57"/>
      <c r="G89" s="57"/>
      <c r="H89" s="57"/>
      <c r="I89" s="57"/>
      <c r="J89" s="57"/>
      <c r="K89" s="57"/>
      <c r="L89" s="57"/>
      <c r="M89" s="57"/>
      <c r="N89" s="57"/>
      <c r="O89" s="226"/>
      <c r="P89" s="226"/>
      <c r="Q89" s="226"/>
      <c r="R89" s="226"/>
      <c r="S89" s="226"/>
      <c r="T89" s="226"/>
      <c r="U89" s="10"/>
      <c r="V89" s="10"/>
      <c r="W89" s="35"/>
      <c r="X89" s="35"/>
      <c r="Y89" s="35"/>
      <c r="Z89" s="35"/>
      <c r="AA89" s="35"/>
      <c r="AB89" s="35"/>
      <c r="AC89" s="35"/>
      <c r="AD89" s="10"/>
      <c r="AE89" s="10">
        <v>32</v>
      </c>
      <c r="AF89" s="35" t="s">
        <v>352</v>
      </c>
      <c r="AG89" s="35"/>
      <c r="AH89" s="35"/>
      <c r="AI89" s="434"/>
      <c r="AJ89" s="434"/>
      <c r="AK89" s="434"/>
      <c r="AL89" s="468"/>
      <c r="AM89" s="10"/>
      <c r="AN89" s="10"/>
      <c r="AO89" s="517"/>
      <c r="AP89" s="434"/>
      <c r="AQ89" s="10"/>
      <c r="AR89" s="10"/>
      <c r="AS89" s="434"/>
      <c r="AT89" s="434"/>
      <c r="AU89" s="35"/>
      <c r="AV89" s="10"/>
      <c r="AW89" s="10"/>
      <c r="AX89" s="58"/>
      <c r="AY89" s="434"/>
      <c r="AZ89" s="35"/>
      <c r="BA89" s="35"/>
      <c r="BB89" s="35"/>
      <c r="BC89" s="35" t="s">
        <v>197</v>
      </c>
      <c r="BD89" s="10">
        <v>5</v>
      </c>
      <c r="BE89" s="35" t="s">
        <v>269</v>
      </c>
      <c r="BF89" s="10"/>
      <c r="BG89" s="10"/>
      <c r="BH89" s="10"/>
      <c r="BI89" s="10"/>
      <c r="BJ89" s="40"/>
      <c r="BK89" s="40"/>
      <c r="BL89" s="40"/>
      <c r="BM89" s="414"/>
      <c r="BN89" s="463"/>
      <c r="BO89" s="449"/>
      <c r="BP89" s="370"/>
      <c r="BQ89" s="534"/>
      <c r="BR89" s="106" t="s">
        <v>247</v>
      </c>
      <c r="BS89" s="106" t="s">
        <v>332</v>
      </c>
      <c r="BT89" s="325"/>
      <c r="BU89" s="325"/>
      <c r="BV89" s="40"/>
      <c r="BW89" s="349"/>
      <c r="BX89" s="463"/>
      <c r="BY89" s="463"/>
      <c r="BZ89" s="449"/>
    </row>
    <row r="90" spans="1:78" s="24" customFormat="1" ht="12.75" customHeight="1">
      <c r="A90" s="512"/>
      <c r="B90" s="511"/>
      <c r="C90" s="434"/>
      <c r="D90" s="10"/>
      <c r="E90" s="10"/>
      <c r="F90" s="57"/>
      <c r="G90" s="57"/>
      <c r="H90" s="57"/>
      <c r="I90" s="57"/>
      <c r="J90" s="57"/>
      <c r="K90" s="57"/>
      <c r="L90" s="57"/>
      <c r="M90" s="57"/>
      <c r="N90" s="57"/>
      <c r="O90" s="208"/>
      <c r="P90" s="208"/>
      <c r="Q90" s="208"/>
      <c r="R90" s="208"/>
      <c r="S90" s="208"/>
      <c r="T90" s="208"/>
      <c r="U90" s="35"/>
      <c r="V90" s="10"/>
      <c r="W90" s="10"/>
      <c r="X90" s="10"/>
      <c r="Y90" s="10"/>
      <c r="Z90" s="10"/>
      <c r="AA90" s="10"/>
      <c r="AB90" s="10"/>
      <c r="AC90" s="10"/>
      <c r="AD90" s="10"/>
      <c r="AE90" s="10">
        <v>9</v>
      </c>
      <c r="AF90" s="35" t="s">
        <v>363</v>
      </c>
      <c r="AG90" s="10"/>
      <c r="AH90" s="10"/>
      <c r="AI90" s="434"/>
      <c r="AJ90" s="434"/>
      <c r="AK90" s="434"/>
      <c r="AL90" s="468"/>
      <c r="AM90" s="10"/>
      <c r="AN90" s="10"/>
      <c r="AO90" s="517"/>
      <c r="AP90" s="434"/>
      <c r="AQ90" s="10"/>
      <c r="AR90" s="10"/>
      <c r="AS90" s="434"/>
      <c r="AT90" s="434"/>
      <c r="AU90" s="10"/>
      <c r="AV90" s="10"/>
      <c r="AW90" s="10"/>
      <c r="AX90" s="58"/>
      <c r="AY90" s="434"/>
      <c r="AZ90" s="35"/>
      <c r="BA90" s="35"/>
      <c r="BB90" s="35"/>
      <c r="BC90" s="10"/>
      <c r="BD90" s="10"/>
      <c r="BE90" s="10"/>
      <c r="BF90" s="10"/>
      <c r="BG90" s="10"/>
      <c r="BH90" s="10"/>
      <c r="BI90" s="10"/>
      <c r="BJ90" s="40"/>
      <c r="BK90" s="40"/>
      <c r="BL90" s="40"/>
      <c r="BM90" s="414"/>
      <c r="BN90" s="463"/>
      <c r="BO90" s="449"/>
      <c r="BP90" s="370"/>
      <c r="BQ90" s="534"/>
      <c r="BR90" s="403"/>
      <c r="BS90" s="403"/>
      <c r="BT90" s="325"/>
      <c r="BU90" s="325"/>
      <c r="BV90" s="40"/>
      <c r="BW90" s="349"/>
      <c r="BX90" s="463"/>
      <c r="BY90" s="463"/>
      <c r="BZ90" s="449"/>
    </row>
    <row r="91" spans="1:78" s="24" customFormat="1" ht="34.5" customHeight="1">
      <c r="A91" s="512"/>
      <c r="B91" s="511"/>
      <c r="C91" s="434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226"/>
      <c r="P91" s="226"/>
      <c r="Q91" s="226"/>
      <c r="R91" s="226"/>
      <c r="S91" s="226"/>
      <c r="T91" s="226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35"/>
      <c r="AF91" s="35"/>
      <c r="AG91" s="35"/>
      <c r="AH91" s="35"/>
      <c r="AI91" s="435"/>
      <c r="AJ91" s="435"/>
      <c r="AK91" s="435"/>
      <c r="AL91" s="468"/>
      <c r="AM91" s="10"/>
      <c r="AN91" s="10"/>
      <c r="AO91" s="517"/>
      <c r="AP91" s="435"/>
      <c r="AQ91" s="10"/>
      <c r="AR91" s="10"/>
      <c r="AS91" s="435"/>
      <c r="AT91" s="435"/>
      <c r="AU91" s="10"/>
      <c r="AV91" s="10"/>
      <c r="AW91" s="10"/>
      <c r="AX91" s="58"/>
      <c r="AY91" s="434"/>
      <c r="AZ91" s="35"/>
      <c r="BA91" s="35"/>
      <c r="BB91" s="35"/>
      <c r="BC91" s="10"/>
      <c r="BD91" s="10"/>
      <c r="BE91" s="10"/>
      <c r="BF91" s="10"/>
      <c r="BG91" s="10"/>
      <c r="BH91" s="10"/>
      <c r="BI91" s="10"/>
      <c r="BJ91" s="40"/>
      <c r="BK91" s="40"/>
      <c r="BL91" s="40"/>
      <c r="BM91" s="78"/>
      <c r="BN91" s="464"/>
      <c r="BO91" s="450"/>
      <c r="BP91" s="371"/>
      <c r="BQ91" s="530"/>
      <c r="BR91" s="403"/>
      <c r="BS91" s="403"/>
      <c r="BT91" s="325"/>
      <c r="BU91" s="325"/>
      <c r="BV91" s="40"/>
      <c r="BW91" s="341"/>
      <c r="BX91" s="464"/>
      <c r="BY91" s="464"/>
      <c r="BZ91" s="449"/>
    </row>
    <row r="92" spans="1:78" s="116" customFormat="1" ht="21.75" customHeight="1">
      <c r="A92" s="428">
        <v>25</v>
      </c>
      <c r="B92" s="430" t="s">
        <v>28</v>
      </c>
      <c r="C92" s="456">
        <v>4038.6</v>
      </c>
      <c r="D92" s="89"/>
      <c r="E92" s="61"/>
      <c r="F92" s="72"/>
      <c r="G92" s="101" t="s">
        <v>199</v>
      </c>
      <c r="H92" s="72">
        <v>2</v>
      </c>
      <c r="I92" s="101" t="s">
        <v>202</v>
      </c>
      <c r="J92" s="101" t="s">
        <v>227</v>
      </c>
      <c r="K92" s="72"/>
      <c r="L92" s="72"/>
      <c r="M92" s="72"/>
      <c r="N92" s="72"/>
      <c r="O92" s="205"/>
      <c r="P92" s="205"/>
      <c r="Q92" s="205"/>
      <c r="R92" s="205"/>
      <c r="S92" s="205"/>
      <c r="T92" s="205"/>
      <c r="U92" s="61"/>
      <c r="V92" s="61"/>
      <c r="W92" s="61"/>
      <c r="X92" s="61"/>
      <c r="Y92" s="61"/>
      <c r="Z92" s="61"/>
      <c r="AA92" s="61"/>
      <c r="AB92" s="61"/>
      <c r="AC92" s="61"/>
      <c r="AD92" s="61"/>
      <c r="AE92" s="89">
        <v>20</v>
      </c>
      <c r="AF92" s="89" t="s">
        <v>353</v>
      </c>
      <c r="AG92" s="89"/>
      <c r="AH92" s="89"/>
      <c r="AI92" s="428"/>
      <c r="AJ92" s="428"/>
      <c r="AK92" s="428"/>
      <c r="AL92" s="455"/>
      <c r="AM92" s="61"/>
      <c r="AN92" s="61"/>
      <c r="AO92" s="455" t="s">
        <v>248</v>
      </c>
      <c r="AP92" s="428"/>
      <c r="AQ92" s="61"/>
      <c r="AR92" s="61"/>
      <c r="AS92" s="428"/>
      <c r="AT92" s="457"/>
      <c r="AU92" s="89" t="s">
        <v>214</v>
      </c>
      <c r="AV92" s="89" t="s">
        <v>199</v>
      </c>
      <c r="AW92" s="61">
        <v>4</v>
      </c>
      <c r="AX92" s="71"/>
      <c r="AY92" s="457" t="s">
        <v>248</v>
      </c>
      <c r="AZ92" s="89" t="s">
        <v>201</v>
      </c>
      <c r="BA92" s="89">
        <v>3</v>
      </c>
      <c r="BB92" s="89" t="s">
        <v>245</v>
      </c>
      <c r="BC92" s="61"/>
      <c r="BD92" s="61"/>
      <c r="BE92" s="61"/>
      <c r="BF92" s="61"/>
      <c r="BG92" s="61"/>
      <c r="BH92" s="89"/>
      <c r="BI92" s="61"/>
      <c r="BJ92" s="97"/>
      <c r="BK92" s="96"/>
      <c r="BL92" s="96"/>
      <c r="BM92" s="417"/>
      <c r="BN92" s="451" t="s">
        <v>417</v>
      </c>
      <c r="BO92" s="451"/>
      <c r="BP92" s="220"/>
      <c r="BQ92" s="487" t="s">
        <v>248</v>
      </c>
      <c r="BR92" s="134"/>
      <c r="BS92" s="134"/>
      <c r="BT92" s="335"/>
      <c r="BU92" s="335"/>
      <c r="BV92" s="97"/>
      <c r="BW92" s="359"/>
      <c r="BX92" s="522"/>
      <c r="BY92" s="522"/>
      <c r="BZ92" s="451"/>
    </row>
    <row r="93" spans="1:78" s="116" customFormat="1" ht="21" customHeight="1">
      <c r="A93" s="432"/>
      <c r="B93" s="500"/>
      <c r="C93" s="456"/>
      <c r="D93" s="89"/>
      <c r="E93" s="61"/>
      <c r="F93" s="72"/>
      <c r="G93" s="101" t="s">
        <v>257</v>
      </c>
      <c r="H93" s="72">
        <v>2</v>
      </c>
      <c r="I93" s="101" t="s">
        <v>202</v>
      </c>
      <c r="J93" s="101" t="s">
        <v>227</v>
      </c>
      <c r="K93" s="72"/>
      <c r="L93" s="72"/>
      <c r="M93" s="72"/>
      <c r="N93" s="72"/>
      <c r="O93" s="80"/>
      <c r="P93" s="80"/>
      <c r="Q93" s="80"/>
      <c r="R93" s="80"/>
      <c r="S93" s="80"/>
      <c r="T93" s="80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89">
        <v>10</v>
      </c>
      <c r="AF93" s="89" t="s">
        <v>364</v>
      </c>
      <c r="AG93" s="89"/>
      <c r="AH93" s="89"/>
      <c r="AI93" s="432"/>
      <c r="AJ93" s="432"/>
      <c r="AK93" s="432"/>
      <c r="AL93" s="456"/>
      <c r="AM93" s="61"/>
      <c r="AN93" s="61"/>
      <c r="AO93" s="455"/>
      <c r="AP93" s="432"/>
      <c r="AQ93" s="61"/>
      <c r="AR93" s="61"/>
      <c r="AS93" s="432"/>
      <c r="AT93" s="432"/>
      <c r="AU93" s="61"/>
      <c r="AV93" s="61"/>
      <c r="AW93" s="61"/>
      <c r="AX93" s="272"/>
      <c r="AY93" s="458"/>
      <c r="AZ93" s="89" t="s">
        <v>201</v>
      </c>
      <c r="BA93" s="89">
        <v>24</v>
      </c>
      <c r="BB93" s="89" t="s">
        <v>205</v>
      </c>
      <c r="BC93" s="61"/>
      <c r="BD93" s="61"/>
      <c r="BE93" s="61"/>
      <c r="BF93" s="61"/>
      <c r="BG93" s="61"/>
      <c r="BH93" s="61"/>
      <c r="BI93" s="61"/>
      <c r="BJ93" s="96"/>
      <c r="BK93" s="96"/>
      <c r="BL93" s="96"/>
      <c r="BM93" s="418"/>
      <c r="BN93" s="452"/>
      <c r="BO93" s="452"/>
      <c r="BP93" s="293"/>
      <c r="BQ93" s="533"/>
      <c r="BR93" s="134"/>
      <c r="BS93" s="134"/>
      <c r="BT93" s="326"/>
      <c r="BU93" s="326"/>
      <c r="BV93" s="96"/>
      <c r="BW93" s="347"/>
      <c r="BX93" s="523"/>
      <c r="BY93" s="523"/>
      <c r="BZ93" s="470"/>
    </row>
    <row r="94" spans="1:78" s="116" customFormat="1" ht="21" customHeight="1">
      <c r="A94" s="432"/>
      <c r="B94" s="500"/>
      <c r="C94" s="456"/>
      <c r="D94" s="89"/>
      <c r="E94" s="61"/>
      <c r="F94" s="72"/>
      <c r="G94" s="72"/>
      <c r="H94" s="72"/>
      <c r="I94" s="72"/>
      <c r="J94" s="72"/>
      <c r="K94" s="72"/>
      <c r="L94" s="72"/>
      <c r="M94" s="72"/>
      <c r="N94" s="72"/>
      <c r="O94" s="80"/>
      <c r="P94" s="80"/>
      <c r="Q94" s="80"/>
      <c r="R94" s="80"/>
      <c r="S94" s="80"/>
      <c r="T94" s="80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89"/>
      <c r="AF94" s="89"/>
      <c r="AG94" s="89"/>
      <c r="AH94" s="89"/>
      <c r="AI94" s="432"/>
      <c r="AJ94" s="432"/>
      <c r="AK94" s="432"/>
      <c r="AL94" s="456"/>
      <c r="AM94" s="61"/>
      <c r="AN94" s="61"/>
      <c r="AO94" s="455"/>
      <c r="AP94" s="432"/>
      <c r="AQ94" s="61"/>
      <c r="AR94" s="61"/>
      <c r="AS94" s="432"/>
      <c r="AT94" s="432"/>
      <c r="AU94" s="61"/>
      <c r="AV94" s="61"/>
      <c r="AW94" s="61"/>
      <c r="AX94" s="272"/>
      <c r="AY94" s="458"/>
      <c r="AZ94" s="89"/>
      <c r="BA94" s="89"/>
      <c r="BB94" s="89"/>
      <c r="BC94" s="61"/>
      <c r="BD94" s="61"/>
      <c r="BE94" s="61"/>
      <c r="BF94" s="61"/>
      <c r="BG94" s="61"/>
      <c r="BH94" s="61"/>
      <c r="BI94" s="61"/>
      <c r="BJ94" s="96"/>
      <c r="BK94" s="96"/>
      <c r="BL94" s="96"/>
      <c r="BM94" s="418"/>
      <c r="BN94" s="452"/>
      <c r="BO94" s="452"/>
      <c r="BP94" s="293"/>
      <c r="BQ94" s="533"/>
      <c r="BR94" s="134"/>
      <c r="BS94" s="134"/>
      <c r="BT94" s="326"/>
      <c r="BU94" s="326"/>
      <c r="BV94" s="96"/>
      <c r="BW94" s="347"/>
      <c r="BX94" s="523"/>
      <c r="BY94" s="523"/>
      <c r="BZ94" s="470"/>
    </row>
    <row r="95" spans="1:78" s="116" customFormat="1" ht="12" customHeight="1">
      <c r="A95" s="432"/>
      <c r="B95" s="500"/>
      <c r="C95" s="456"/>
      <c r="D95" s="89"/>
      <c r="E95" s="61"/>
      <c r="F95" s="72"/>
      <c r="G95" s="72"/>
      <c r="H95" s="72"/>
      <c r="I95" s="72"/>
      <c r="J95" s="72"/>
      <c r="K95" s="72"/>
      <c r="L95" s="72"/>
      <c r="M95" s="72"/>
      <c r="N95" s="72"/>
      <c r="O95" s="80"/>
      <c r="P95" s="80"/>
      <c r="Q95" s="80"/>
      <c r="R95" s="80"/>
      <c r="S95" s="80"/>
      <c r="T95" s="80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89"/>
      <c r="AF95" s="89"/>
      <c r="AG95" s="89"/>
      <c r="AH95" s="89"/>
      <c r="AI95" s="432"/>
      <c r="AJ95" s="432"/>
      <c r="AK95" s="432"/>
      <c r="AL95" s="456"/>
      <c r="AM95" s="61"/>
      <c r="AN95" s="61"/>
      <c r="AO95" s="455"/>
      <c r="AP95" s="432"/>
      <c r="AQ95" s="61"/>
      <c r="AR95" s="61"/>
      <c r="AS95" s="432"/>
      <c r="AT95" s="432"/>
      <c r="AU95" s="61"/>
      <c r="AV95" s="61"/>
      <c r="AW95" s="61"/>
      <c r="AX95" s="272"/>
      <c r="AY95" s="458"/>
      <c r="AZ95" s="89"/>
      <c r="BA95" s="89"/>
      <c r="BB95" s="89"/>
      <c r="BC95" s="61"/>
      <c r="BD95" s="61"/>
      <c r="BE95" s="61"/>
      <c r="BF95" s="61"/>
      <c r="BG95" s="61"/>
      <c r="BH95" s="61"/>
      <c r="BI95" s="61"/>
      <c r="BJ95" s="96"/>
      <c r="BK95" s="96"/>
      <c r="BL95" s="96"/>
      <c r="BM95" s="418"/>
      <c r="BN95" s="452"/>
      <c r="BO95" s="452"/>
      <c r="BP95" s="293"/>
      <c r="BQ95" s="533"/>
      <c r="BR95" s="134"/>
      <c r="BS95" s="134"/>
      <c r="BT95" s="326"/>
      <c r="BU95" s="326"/>
      <c r="BV95" s="96"/>
      <c r="BW95" s="347"/>
      <c r="BX95" s="523"/>
      <c r="BY95" s="523"/>
      <c r="BZ95" s="470"/>
    </row>
    <row r="96" spans="1:78" s="116" customFormat="1" ht="12" customHeight="1">
      <c r="A96" s="509"/>
      <c r="B96" s="507"/>
      <c r="C96" s="456"/>
      <c r="D96" s="61"/>
      <c r="E96" s="61"/>
      <c r="F96" s="61"/>
      <c r="G96" s="61"/>
      <c r="H96" s="61"/>
      <c r="I96" s="61"/>
      <c r="J96" s="61"/>
      <c r="K96" s="61"/>
      <c r="L96" s="61"/>
      <c r="M96" s="61"/>
      <c r="N96" s="61"/>
      <c r="O96" s="204"/>
      <c r="P96" s="204"/>
      <c r="Q96" s="204"/>
      <c r="R96" s="204"/>
      <c r="S96" s="204"/>
      <c r="T96" s="204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429"/>
      <c r="AJ96" s="429"/>
      <c r="AK96" s="429"/>
      <c r="AL96" s="456"/>
      <c r="AM96" s="61"/>
      <c r="AN96" s="61"/>
      <c r="AO96" s="456"/>
      <c r="AP96" s="429"/>
      <c r="AQ96" s="61"/>
      <c r="AR96" s="61"/>
      <c r="AS96" s="429"/>
      <c r="AT96" s="429"/>
      <c r="AU96" s="61"/>
      <c r="AV96" s="61"/>
      <c r="AW96" s="61"/>
      <c r="AX96" s="72"/>
      <c r="AY96" s="429"/>
      <c r="AZ96" s="89"/>
      <c r="BA96" s="89"/>
      <c r="BB96" s="89"/>
      <c r="BC96" s="61"/>
      <c r="BD96" s="61"/>
      <c r="BE96" s="61"/>
      <c r="BF96" s="61"/>
      <c r="BG96" s="61"/>
      <c r="BH96" s="61"/>
      <c r="BI96" s="61"/>
      <c r="BJ96" s="96"/>
      <c r="BK96" s="96"/>
      <c r="BL96" s="96"/>
      <c r="BM96" s="118"/>
      <c r="BN96" s="453"/>
      <c r="BO96" s="453"/>
      <c r="BP96" s="292"/>
      <c r="BQ96" s="488"/>
      <c r="BR96" s="134"/>
      <c r="BS96" s="134"/>
      <c r="BT96" s="326"/>
      <c r="BU96" s="326"/>
      <c r="BV96" s="96"/>
      <c r="BW96" s="343"/>
      <c r="BX96" s="524"/>
      <c r="BY96" s="524"/>
      <c r="BZ96" s="471"/>
    </row>
    <row r="97" spans="1:78" s="32" customFormat="1" ht="12" customHeight="1">
      <c r="A97" s="14">
        <v>25</v>
      </c>
      <c r="B97" s="11" t="s">
        <v>29</v>
      </c>
      <c r="C97" s="12">
        <f>SUM(C6:C92)</f>
        <v>60985.07000000001</v>
      </c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37"/>
      <c r="BK97" s="37"/>
      <c r="BL97" s="37"/>
      <c r="BM97" s="37"/>
      <c r="BN97" s="37"/>
      <c r="BO97" s="37"/>
      <c r="BP97" s="37"/>
      <c r="BQ97" s="37"/>
      <c r="BR97" s="37"/>
      <c r="BS97" s="37"/>
      <c r="BT97" s="336"/>
      <c r="BU97" s="336"/>
      <c r="BV97" s="37"/>
      <c r="BW97" s="360"/>
      <c r="BX97" s="37"/>
      <c r="BY97" s="37"/>
      <c r="BZ97" s="37"/>
    </row>
  </sheetData>
  <sheetProtection/>
  <autoFilter ref="A1:C97"/>
  <mergeCells count="442">
    <mergeCell ref="AB4:AC4"/>
    <mergeCell ref="BQ33:BQ39"/>
    <mergeCell ref="BQ44:BQ45"/>
    <mergeCell ref="BP21:BP24"/>
    <mergeCell ref="BP33:BP39"/>
    <mergeCell ref="AM66:AM67"/>
    <mergeCell ref="BQ25:BQ28"/>
    <mergeCell ref="BQ40:BQ43"/>
    <mergeCell ref="AO44:AO45"/>
    <mergeCell ref="BV21:BV24"/>
    <mergeCell ref="BV25:BV28"/>
    <mergeCell ref="BT21:BT24"/>
    <mergeCell ref="AY33:AY39"/>
    <mergeCell ref="AY54:AY56"/>
    <mergeCell ref="BO44:BO45"/>
    <mergeCell ref="G4:J4"/>
    <mergeCell ref="P4:Q4"/>
    <mergeCell ref="BO25:BO28"/>
    <mergeCell ref="BO29:BO32"/>
    <mergeCell ref="BO6:BO7"/>
    <mergeCell ref="Z4:AA4"/>
    <mergeCell ref="BO12:BO13"/>
    <mergeCell ref="BO15:BO16"/>
    <mergeCell ref="BO17:BO18"/>
    <mergeCell ref="AI8:AI9"/>
    <mergeCell ref="BQ84:BQ87"/>
    <mergeCell ref="BQ88:BQ91"/>
    <mergeCell ref="BQ92:BQ96"/>
    <mergeCell ref="BQ54:BQ56"/>
    <mergeCell ref="BQ57:BQ59"/>
    <mergeCell ref="BQ60:BQ65"/>
    <mergeCell ref="BQ66:BQ67"/>
    <mergeCell ref="BQ68:BQ72"/>
    <mergeCell ref="BQ76:BQ83"/>
    <mergeCell ref="BF4:BG4"/>
    <mergeCell ref="BO92:BO96"/>
    <mergeCell ref="BO54:BO56"/>
    <mergeCell ref="BO88:BO91"/>
    <mergeCell ref="BO57:BO59"/>
    <mergeCell ref="BO8:BO9"/>
    <mergeCell ref="BO10:BO11"/>
    <mergeCell ref="BM25:BM28"/>
    <mergeCell ref="BO60:BO65"/>
    <mergeCell ref="BM66:BM67"/>
    <mergeCell ref="BQ6:BQ7"/>
    <mergeCell ref="BQ8:BQ9"/>
    <mergeCell ref="BQ10:BQ11"/>
    <mergeCell ref="BQ12:BQ13"/>
    <mergeCell ref="BQ15:BQ16"/>
    <mergeCell ref="BQ73:BQ75"/>
    <mergeCell ref="BQ19:BQ20"/>
    <mergeCell ref="BQ21:BQ24"/>
    <mergeCell ref="BQ29:BQ32"/>
    <mergeCell ref="BQ46:BQ53"/>
    <mergeCell ref="AI46:AI53"/>
    <mergeCell ref="AJ46:AJ53"/>
    <mergeCell ref="AJ57:AJ59"/>
    <mergeCell ref="AI60:AI65"/>
    <mergeCell ref="AJ60:AJ65"/>
    <mergeCell ref="AJ66:AJ67"/>
    <mergeCell ref="BO84:BO87"/>
    <mergeCell ref="BO19:BO20"/>
    <mergeCell ref="BO21:BO24"/>
    <mergeCell ref="BO40:BO43"/>
    <mergeCell ref="BO46:BO53"/>
    <mergeCell ref="BO66:BO67"/>
    <mergeCell ref="BO68:BO72"/>
    <mergeCell ref="BO73:BO75"/>
    <mergeCell ref="BO76:BO83"/>
    <mergeCell ref="AJ8:AJ9"/>
    <mergeCell ref="AI6:AI7"/>
    <mergeCell ref="AJ6:AJ7"/>
    <mergeCell ref="AI15:AI16"/>
    <mergeCell ref="AJ15:AJ16"/>
    <mergeCell ref="AI12:AI13"/>
    <mergeCell ref="AJ12:AJ13"/>
    <mergeCell ref="AI92:AI96"/>
    <mergeCell ref="AJ92:AJ96"/>
    <mergeCell ref="AI76:AI83"/>
    <mergeCell ref="AJ76:AJ83"/>
    <mergeCell ref="AI84:AI87"/>
    <mergeCell ref="AJ84:AJ87"/>
    <mergeCell ref="AI88:AI91"/>
    <mergeCell ref="AJ88:AJ91"/>
    <mergeCell ref="AI25:AI28"/>
    <mergeCell ref="AJ25:AJ28"/>
    <mergeCell ref="AI10:AI11"/>
    <mergeCell ref="AJ10:AJ11"/>
    <mergeCell ref="AI21:AI24"/>
    <mergeCell ref="AJ21:AJ24"/>
    <mergeCell ref="AI19:AI20"/>
    <mergeCell ref="AJ19:AJ20"/>
    <mergeCell ref="AI17:AI18"/>
    <mergeCell ref="AJ17:AJ18"/>
    <mergeCell ref="AK84:AK87"/>
    <mergeCell ref="AI68:AI72"/>
    <mergeCell ref="AJ68:AJ72"/>
    <mergeCell ref="AI73:AI75"/>
    <mergeCell ref="AJ73:AJ75"/>
    <mergeCell ref="AI54:AI56"/>
    <mergeCell ref="AJ54:AJ56"/>
    <mergeCell ref="AI57:AI59"/>
    <mergeCell ref="AI66:AI67"/>
    <mergeCell ref="BX73:BX75"/>
    <mergeCell ref="BY73:BY75"/>
    <mergeCell ref="BX84:BX87"/>
    <mergeCell ref="BX76:BX83"/>
    <mergeCell ref="BX88:BX91"/>
    <mergeCell ref="AK60:AK65"/>
    <mergeCell ref="AK66:AK67"/>
    <mergeCell ref="AK68:AK72"/>
    <mergeCell ref="AK73:AK75"/>
    <mergeCell ref="AK76:AK83"/>
    <mergeCell ref="BX57:BX59"/>
    <mergeCell ref="BY57:BY59"/>
    <mergeCell ref="BX60:BX65"/>
    <mergeCell ref="BY60:BY65"/>
    <mergeCell ref="BX46:BX53"/>
    <mergeCell ref="BX92:BX96"/>
    <mergeCell ref="BY92:BY96"/>
    <mergeCell ref="BY66:BY67"/>
    <mergeCell ref="BX68:BX72"/>
    <mergeCell ref="BY68:BY72"/>
    <mergeCell ref="BY15:BY16"/>
    <mergeCell ref="BX12:BX13"/>
    <mergeCell ref="BY12:BY13"/>
    <mergeCell ref="BY46:BY53"/>
    <mergeCell ref="BX54:BX56"/>
    <mergeCell ref="BY54:BY56"/>
    <mergeCell ref="BX8:BX9"/>
    <mergeCell ref="BY8:BY9"/>
    <mergeCell ref="AG4:AH4"/>
    <mergeCell ref="BX25:BX28"/>
    <mergeCell ref="BY25:BY28"/>
    <mergeCell ref="BX21:BX24"/>
    <mergeCell ref="BY21:BY24"/>
    <mergeCell ref="AK6:AK7"/>
    <mergeCell ref="BX6:BX7"/>
    <mergeCell ref="BY6:BY7"/>
    <mergeCell ref="BN44:BN45"/>
    <mergeCell ref="BN40:BN43"/>
    <mergeCell ref="BN29:BN32"/>
    <mergeCell ref="AT40:AT43"/>
    <mergeCell ref="AT25:AT28"/>
    <mergeCell ref="BY10:BY11"/>
    <mergeCell ref="BX29:BX32"/>
    <mergeCell ref="BY29:BY32"/>
    <mergeCell ref="BX40:BX43"/>
    <mergeCell ref="BY40:BY43"/>
    <mergeCell ref="AT76:AT83"/>
    <mergeCell ref="AT84:AT87"/>
    <mergeCell ref="AT88:AT91"/>
    <mergeCell ref="AT57:AT59"/>
    <mergeCell ref="AT60:AT65"/>
    <mergeCell ref="AY15:AY16"/>
    <mergeCell ref="AY57:AY59"/>
    <mergeCell ref="AY40:AY43"/>
    <mergeCell ref="AO17:AO18"/>
    <mergeCell ref="AK88:AK91"/>
    <mergeCell ref="AK92:AK96"/>
    <mergeCell ref="AT6:AT7"/>
    <mergeCell ref="AT8:AT9"/>
    <mergeCell ref="AT10:AT11"/>
    <mergeCell ref="AT12:AT13"/>
    <mergeCell ref="AT15:AT16"/>
    <mergeCell ref="AT17:AT18"/>
    <mergeCell ref="AT19:AT20"/>
    <mergeCell ref="AK8:AK9"/>
    <mergeCell ref="AK10:AK11"/>
    <mergeCell ref="AK12:AK13"/>
    <mergeCell ref="AK15:AK16"/>
    <mergeCell ref="AK17:AK18"/>
    <mergeCell ref="AK46:AK53"/>
    <mergeCell ref="AL19:AL20"/>
    <mergeCell ref="AK40:AK43"/>
    <mergeCell ref="AL25:AL28"/>
    <mergeCell ref="AO25:AO28"/>
    <mergeCell ref="BZ54:BZ56"/>
    <mergeCell ref="BZ57:BZ59"/>
    <mergeCell ref="AK54:AK56"/>
    <mergeCell ref="AT21:AT24"/>
    <mergeCell ref="BN54:BN56"/>
    <mergeCell ref="BN57:BN59"/>
    <mergeCell ref="AL73:AL75"/>
    <mergeCell ref="AL15:AL16"/>
    <mergeCell ref="AO15:AO16"/>
    <mergeCell ref="AO21:AO24"/>
    <mergeCell ref="AK19:AK20"/>
    <mergeCell ref="AK57:AK59"/>
    <mergeCell ref="AK21:AK24"/>
    <mergeCell ref="AK25:AK28"/>
    <mergeCell ref="AO40:AO43"/>
    <mergeCell ref="AL21:AL24"/>
    <mergeCell ref="C25:C28"/>
    <mergeCell ref="C66:C67"/>
    <mergeCell ref="BZ4:BZ5"/>
    <mergeCell ref="AL6:AL7"/>
    <mergeCell ref="AL12:AL13"/>
    <mergeCell ref="AY19:AY20"/>
    <mergeCell ref="AY29:AY32"/>
    <mergeCell ref="AY6:AY7"/>
    <mergeCell ref="BZ25:BZ28"/>
    <mergeCell ref="AO12:AO13"/>
    <mergeCell ref="C88:C91"/>
    <mergeCell ref="C68:C72"/>
    <mergeCell ref="A40:A43"/>
    <mergeCell ref="C40:C43"/>
    <mergeCell ref="B46:B53"/>
    <mergeCell ref="C60:C65"/>
    <mergeCell ref="B60:B65"/>
    <mergeCell ref="B54:B56"/>
    <mergeCell ref="A46:A53"/>
    <mergeCell ref="A73:A75"/>
    <mergeCell ref="C92:C96"/>
    <mergeCell ref="C84:C87"/>
    <mergeCell ref="B8:B9"/>
    <mergeCell ref="A8:A9"/>
    <mergeCell ref="C29:C32"/>
    <mergeCell ref="C54:C56"/>
    <mergeCell ref="B73:B75"/>
    <mergeCell ref="A88:A91"/>
    <mergeCell ref="A54:A56"/>
    <mergeCell ref="A57:A59"/>
    <mergeCell ref="B92:B96"/>
    <mergeCell ref="B66:B67"/>
    <mergeCell ref="A92:A96"/>
    <mergeCell ref="A66:A67"/>
    <mergeCell ref="B76:B83"/>
    <mergeCell ref="A68:A72"/>
    <mergeCell ref="A76:A83"/>
    <mergeCell ref="A84:A87"/>
    <mergeCell ref="B84:B87"/>
    <mergeCell ref="B88:B91"/>
    <mergeCell ref="B68:B72"/>
    <mergeCell ref="B12:B13"/>
    <mergeCell ref="B57:B59"/>
    <mergeCell ref="A25:A28"/>
    <mergeCell ref="B29:B32"/>
    <mergeCell ref="B40:B43"/>
    <mergeCell ref="B33:B39"/>
    <mergeCell ref="A33:A39"/>
    <mergeCell ref="A44:A45"/>
    <mergeCell ref="B44:B45"/>
    <mergeCell ref="C73:C75"/>
    <mergeCell ref="AO73:AO75"/>
    <mergeCell ref="C76:C83"/>
    <mergeCell ref="C12:C13"/>
    <mergeCell ref="A21:A24"/>
    <mergeCell ref="B25:B28"/>
    <mergeCell ref="B21:B24"/>
    <mergeCell ref="A29:A32"/>
    <mergeCell ref="A60:A65"/>
    <mergeCell ref="AO46:AO53"/>
    <mergeCell ref="A2:C2"/>
    <mergeCell ref="A3:C3"/>
    <mergeCell ref="B17:B18"/>
    <mergeCell ref="A17:A18"/>
    <mergeCell ref="A10:A11"/>
    <mergeCell ref="C10:C11"/>
    <mergeCell ref="A12:A13"/>
    <mergeCell ref="C8:C9"/>
    <mergeCell ref="C6:C7"/>
    <mergeCell ref="B10:B11"/>
    <mergeCell ref="AI4:AJ4"/>
    <mergeCell ref="AL8:AL9"/>
    <mergeCell ref="AL10:AL11"/>
    <mergeCell ref="C17:C18"/>
    <mergeCell ref="AO10:AO11"/>
    <mergeCell ref="AL17:AL18"/>
    <mergeCell ref="AO8:AO9"/>
    <mergeCell ref="AE4:AF4"/>
    <mergeCell ref="D4:F4"/>
    <mergeCell ref="N4:O4"/>
    <mergeCell ref="C57:C59"/>
    <mergeCell ref="AL29:AL32"/>
    <mergeCell ref="AL40:AL43"/>
    <mergeCell ref="AL54:AL56"/>
    <mergeCell ref="AJ40:AJ43"/>
    <mergeCell ref="AI29:AI32"/>
    <mergeCell ref="AJ29:AJ32"/>
    <mergeCell ref="AI40:AI43"/>
    <mergeCell ref="C33:C39"/>
    <mergeCell ref="AL57:AL59"/>
    <mergeCell ref="AS54:AS56"/>
    <mergeCell ref="BK4:BL4"/>
    <mergeCell ref="AS29:AS32"/>
    <mergeCell ref="AO19:AO20"/>
    <mergeCell ref="AT54:AT56"/>
    <mergeCell ref="AO54:AO56"/>
    <mergeCell ref="AP8:AP9"/>
    <mergeCell ref="AP10:AP11"/>
    <mergeCell ref="AO6:AO7"/>
    <mergeCell ref="AP25:AP28"/>
    <mergeCell ref="AZ4:BB4"/>
    <mergeCell ref="AQ4:AR4"/>
    <mergeCell ref="AY10:AY11"/>
    <mergeCell ref="AY12:AY13"/>
    <mergeCell ref="BC4:BE4"/>
    <mergeCell ref="AU4:AX4"/>
    <mergeCell ref="AS6:AS7"/>
    <mergeCell ref="AS8:AS9"/>
    <mergeCell ref="AS10:AS11"/>
    <mergeCell ref="BN6:BN7"/>
    <mergeCell ref="AO33:AO39"/>
    <mergeCell ref="AK29:AK32"/>
    <mergeCell ref="BX4:BY4"/>
    <mergeCell ref="BR4:BS4"/>
    <mergeCell ref="BQ17:BQ18"/>
    <mergeCell ref="BN19:BN20"/>
    <mergeCell ref="BN17:BN18"/>
    <mergeCell ref="AY8:AY9"/>
    <mergeCell ref="BH4:BJ4"/>
    <mergeCell ref="AP6:AP7"/>
    <mergeCell ref="BZ6:BZ7"/>
    <mergeCell ref="BZ8:BZ9"/>
    <mergeCell ref="BN8:BN9"/>
    <mergeCell ref="AY21:AY24"/>
    <mergeCell ref="BX19:BX20"/>
    <mergeCell ref="BX10:BX11"/>
    <mergeCell ref="BY17:BY18"/>
    <mergeCell ref="BX15:BX16"/>
    <mergeCell ref="BY19:BY20"/>
    <mergeCell ref="BZ15:BZ16"/>
    <mergeCell ref="AS25:AS28"/>
    <mergeCell ref="BZ40:BZ43"/>
    <mergeCell ref="BZ19:BZ20"/>
    <mergeCell ref="C46:C53"/>
    <mergeCell ref="C44:C45"/>
    <mergeCell ref="AP29:AP32"/>
    <mergeCell ref="AP40:AP43"/>
    <mergeCell ref="AS46:AS53"/>
    <mergeCell ref="C21:C24"/>
    <mergeCell ref="BZ17:BZ18"/>
    <mergeCell ref="BZ12:BZ13"/>
    <mergeCell ref="BZ10:BZ11"/>
    <mergeCell ref="AY25:AY28"/>
    <mergeCell ref="BZ21:BZ24"/>
    <mergeCell ref="BX17:BX18"/>
    <mergeCell ref="BN15:BN16"/>
    <mergeCell ref="BN12:BN13"/>
    <mergeCell ref="BN10:BN11"/>
    <mergeCell ref="AY17:AY18"/>
    <mergeCell ref="BZ29:BZ32"/>
    <mergeCell ref="AL46:AL53"/>
    <mergeCell ref="AO29:AO32"/>
    <mergeCell ref="AY46:AY53"/>
    <mergeCell ref="BN46:BN53"/>
    <mergeCell ref="AP46:AP53"/>
    <mergeCell ref="AT46:AT53"/>
    <mergeCell ref="AT29:AT32"/>
    <mergeCell ref="BM46:BM53"/>
    <mergeCell ref="BM44:BM45"/>
    <mergeCell ref="BZ76:BZ83"/>
    <mergeCell ref="AY66:AY67"/>
    <mergeCell ref="AY68:AY72"/>
    <mergeCell ref="AO60:AO65"/>
    <mergeCell ref="BZ68:BZ72"/>
    <mergeCell ref="BN60:BN65"/>
    <mergeCell ref="BZ60:BZ65"/>
    <mergeCell ref="AO76:AO83"/>
    <mergeCell ref="AT68:AT72"/>
    <mergeCell ref="AT73:AT75"/>
    <mergeCell ref="AY92:AY96"/>
    <mergeCell ref="BZ88:BZ91"/>
    <mergeCell ref="BY76:BY83"/>
    <mergeCell ref="BY84:BY87"/>
    <mergeCell ref="BY88:BY91"/>
    <mergeCell ref="BZ46:BZ53"/>
    <mergeCell ref="BZ73:BZ75"/>
    <mergeCell ref="BZ66:BZ67"/>
    <mergeCell ref="AY73:AY75"/>
    <mergeCell ref="AY60:AY65"/>
    <mergeCell ref="BX66:BX67"/>
    <mergeCell ref="AO68:AO72"/>
    <mergeCell ref="AL66:AL67"/>
    <mergeCell ref="AL68:AL72"/>
    <mergeCell ref="BN88:BN91"/>
    <mergeCell ref="BZ92:BZ96"/>
    <mergeCell ref="AY76:AY83"/>
    <mergeCell ref="AY88:AY91"/>
    <mergeCell ref="AY84:AY87"/>
    <mergeCell ref="BZ84:BZ87"/>
    <mergeCell ref="BN66:BN67"/>
    <mergeCell ref="AP66:AP67"/>
    <mergeCell ref="AP73:AP75"/>
    <mergeCell ref="AP76:AP83"/>
    <mergeCell ref="AP84:AP87"/>
    <mergeCell ref="AL88:AL91"/>
    <mergeCell ref="AL76:AL83"/>
    <mergeCell ref="AO88:AO91"/>
    <mergeCell ref="AO84:AO87"/>
    <mergeCell ref="AL84:AL87"/>
    <mergeCell ref="BN84:BN87"/>
    <mergeCell ref="AP57:AP59"/>
    <mergeCell ref="AT92:AT96"/>
    <mergeCell ref="AT66:AT67"/>
    <mergeCell ref="AS84:AS87"/>
    <mergeCell ref="AS88:AS91"/>
    <mergeCell ref="BN92:BN96"/>
    <mergeCell ref="BN76:BN83"/>
    <mergeCell ref="BN73:BN75"/>
    <mergeCell ref="BN68:BN72"/>
    <mergeCell ref="AS17:AS18"/>
    <mergeCell ref="AS19:AS20"/>
    <mergeCell ref="AS21:AS24"/>
    <mergeCell ref="AL92:AL96"/>
    <mergeCell ref="AO92:AO96"/>
    <mergeCell ref="AO57:AO59"/>
    <mergeCell ref="AO66:AO67"/>
    <mergeCell ref="AP60:AP65"/>
    <mergeCell ref="AL60:AL65"/>
    <mergeCell ref="AP54:AP56"/>
    <mergeCell ref="BN25:BN28"/>
    <mergeCell ref="BN21:BN24"/>
    <mergeCell ref="AS57:AS59"/>
    <mergeCell ref="AS60:AS65"/>
    <mergeCell ref="C15:C16"/>
    <mergeCell ref="AP12:AP13"/>
    <mergeCell ref="AP15:AP16"/>
    <mergeCell ref="AP17:AP18"/>
    <mergeCell ref="AP19:AP20"/>
    <mergeCell ref="AP21:AP24"/>
    <mergeCell ref="B19:B20"/>
    <mergeCell ref="AS12:AS13"/>
    <mergeCell ref="AS15:AS16"/>
    <mergeCell ref="AP88:AP91"/>
    <mergeCell ref="AS92:AS96"/>
    <mergeCell ref="AS66:AS67"/>
    <mergeCell ref="AS68:AS72"/>
    <mergeCell ref="AS73:AS75"/>
    <mergeCell ref="AS76:AS83"/>
    <mergeCell ref="AS40:AS43"/>
    <mergeCell ref="A6:A7"/>
    <mergeCell ref="B6:B7"/>
    <mergeCell ref="AP92:AP96"/>
    <mergeCell ref="AP68:AP72"/>
    <mergeCell ref="K4:M4"/>
    <mergeCell ref="U4:V4"/>
    <mergeCell ref="A19:A20"/>
    <mergeCell ref="C19:C20"/>
    <mergeCell ref="A15:A16"/>
    <mergeCell ref="B15:B16"/>
  </mergeCells>
  <printOptions/>
  <pageMargins left="0.3937007874015748" right="0.3937007874015748" top="0.3937007874015748" bottom="0.3937007874015748" header="0" footer="0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BQ39"/>
  <sheetViews>
    <sheetView zoomScale="70" zoomScaleNormal="70" zoomScalePageLayoutView="0" workbookViewId="0" topLeftCell="A1">
      <pane xSplit="3" ySplit="4" topLeftCell="K5" activePane="bottomRight" state="frozen"/>
      <selection pane="topLeft" activeCell="A1" sqref="A1"/>
      <selection pane="topRight" activeCell="D1" sqref="D1"/>
      <selection pane="bottomLeft" activeCell="A6" sqref="A6"/>
      <selection pane="bottomRight" activeCell="BQ9" sqref="BQ9"/>
    </sheetView>
  </sheetViews>
  <sheetFormatPr defaultColWidth="9.140625" defaultRowHeight="12.75"/>
  <cols>
    <col min="1" max="1" width="6.28125" style="1" customWidth="1"/>
    <col min="2" max="2" width="19.7109375" style="55" customWidth="1"/>
    <col min="3" max="3" width="10.00390625" style="43" customWidth="1"/>
    <col min="4" max="4" width="8.140625" style="43" hidden="1" customWidth="1"/>
    <col min="5" max="5" width="7.00390625" style="43" hidden="1" customWidth="1"/>
    <col min="6" max="6" width="8.140625" style="43" hidden="1" customWidth="1"/>
    <col min="7" max="8" width="7.00390625" style="43" hidden="1" customWidth="1"/>
    <col min="9" max="9" width="7.7109375" style="43" hidden="1" customWidth="1"/>
    <col min="10" max="10" width="7.00390625" style="43" hidden="1" customWidth="1"/>
    <col min="11" max="12" width="8.8515625" style="43" customWidth="1"/>
    <col min="13" max="13" width="11.28125" style="43" customWidth="1"/>
    <col min="14" max="14" width="9.8515625" style="43" hidden="1" customWidth="1"/>
    <col min="15" max="15" width="10.57421875" style="43" hidden="1" customWidth="1"/>
    <col min="16" max="16" width="16.28125" style="43" hidden="1" customWidth="1"/>
    <col min="17" max="17" width="6.421875" style="43" customWidth="1"/>
    <col min="18" max="18" width="7.140625" style="43" customWidth="1"/>
    <col min="19" max="19" width="10.28125" style="43" customWidth="1"/>
    <col min="20" max="21" width="10.28125" style="43" hidden="1" customWidth="1"/>
    <col min="22" max="22" width="11.7109375" style="43" hidden="1" customWidth="1"/>
    <col min="23" max="23" width="12.00390625" style="43" customWidth="1"/>
    <col min="24" max="24" width="14.140625" style="1" customWidth="1"/>
    <col min="25" max="25" width="7.57421875" style="1" customWidth="1"/>
    <col min="26" max="26" width="7.8515625" style="1" customWidth="1"/>
    <col min="27" max="27" width="9.57421875" style="1" customWidth="1"/>
    <col min="28" max="28" width="9.57421875" style="1" hidden="1" customWidth="1"/>
    <col min="29" max="29" width="10.8515625" style="43" customWidth="1"/>
    <col min="30" max="30" width="7.7109375" style="43" customWidth="1"/>
    <col min="31" max="32" width="7.00390625" style="43" customWidth="1"/>
    <col min="33" max="33" width="13.28125" style="1" customWidth="1"/>
    <col min="34" max="34" width="11.140625" style="1" hidden="1" customWidth="1"/>
    <col min="35" max="35" width="7.7109375" style="1" customWidth="1"/>
    <col min="36" max="37" width="8.57421875" style="1" customWidth="1"/>
    <col min="38" max="38" width="8.7109375" style="43" customWidth="1"/>
    <col min="39" max="39" width="7.57421875" style="43" customWidth="1"/>
    <col min="40" max="40" width="9.8515625" style="43" customWidth="1"/>
    <col min="41" max="41" width="7.7109375" style="43" bestFit="1" customWidth="1"/>
    <col min="42" max="42" width="7.421875" style="43" bestFit="1" customWidth="1"/>
    <col min="43" max="46" width="11.00390625" style="43" customWidth="1"/>
    <col min="47" max="47" width="8.7109375" style="44" customWidth="1"/>
    <col min="48" max="49" width="8.7109375" style="44" hidden="1" customWidth="1"/>
    <col min="50" max="50" width="10.421875" style="44" hidden="1" customWidth="1"/>
    <col min="51" max="54" width="10.421875" style="44" customWidth="1"/>
    <col min="55" max="55" width="10.28125" style="44" hidden="1" customWidth="1"/>
    <col min="56" max="56" width="14.7109375" style="44" customWidth="1"/>
    <col min="57" max="57" width="11.28125" style="44" hidden="1" customWidth="1"/>
    <col min="58" max="58" width="11.57421875" style="44" hidden="1" customWidth="1"/>
    <col min="59" max="59" width="11.421875" style="44" customWidth="1"/>
    <col min="60" max="60" width="10.140625" style="44" customWidth="1"/>
    <col min="61" max="61" width="11.28125" style="44" customWidth="1"/>
    <col min="62" max="62" width="11.28125" style="44" hidden="1" customWidth="1"/>
    <col min="63" max="63" width="10.28125" style="44" hidden="1" customWidth="1"/>
    <col min="64" max="64" width="7.140625" style="44" hidden="1" customWidth="1"/>
    <col min="65" max="65" width="11.28125" style="44" hidden="1" customWidth="1"/>
    <col min="66" max="67" width="13.57421875" style="44" customWidth="1"/>
    <col min="68" max="68" width="13.140625" style="44" hidden="1" customWidth="1"/>
    <col min="69" max="69" width="11.140625" style="43" customWidth="1"/>
    <col min="70" max="70" width="9.140625" style="45" customWidth="1"/>
    <col min="71" max="71" width="11.140625" style="45" customWidth="1"/>
    <col min="72" max="16384" width="9.140625" style="45" customWidth="1"/>
  </cols>
  <sheetData>
    <row r="1" spans="2:46" ht="15" customHeight="1">
      <c r="B1" s="4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33"/>
      <c r="Y1" s="33"/>
      <c r="Z1" s="33"/>
      <c r="AA1" s="33"/>
      <c r="AB1" s="33"/>
      <c r="AC1" s="2"/>
      <c r="AD1" s="2"/>
      <c r="AE1" s="2"/>
      <c r="AF1" s="2"/>
      <c r="AG1" s="33"/>
      <c r="AH1" s="33"/>
      <c r="AI1" s="33"/>
      <c r="AJ1" s="33"/>
      <c r="AK1" s="33"/>
      <c r="AL1" s="2"/>
      <c r="AM1" s="2"/>
      <c r="AN1" s="2"/>
      <c r="AO1" s="2"/>
      <c r="AP1" s="2"/>
      <c r="AQ1" s="2"/>
      <c r="AR1" s="2"/>
      <c r="AS1" s="2"/>
      <c r="AT1" s="2"/>
    </row>
    <row r="2" spans="1:46" ht="9.75">
      <c r="A2" s="553"/>
      <c r="B2" s="553"/>
      <c r="C2" s="55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33"/>
      <c r="Y2" s="33"/>
      <c r="Z2" s="33"/>
      <c r="AA2" s="33"/>
      <c r="AB2" s="33"/>
      <c r="AC2" s="2"/>
      <c r="AD2" s="2"/>
      <c r="AE2" s="2"/>
      <c r="AF2" s="2"/>
      <c r="AG2" s="33"/>
      <c r="AH2" s="33"/>
      <c r="AI2" s="33"/>
      <c r="AJ2" s="33"/>
      <c r="AK2" s="33"/>
      <c r="AL2" s="2"/>
      <c r="AM2" s="2"/>
      <c r="AN2" s="2"/>
      <c r="AO2" s="2"/>
      <c r="AP2" s="2"/>
      <c r="AQ2" s="2"/>
      <c r="AR2" s="2"/>
      <c r="AS2" s="2"/>
      <c r="AT2" s="2"/>
    </row>
    <row r="3" spans="1:69" ht="85.5" customHeight="1">
      <c r="A3" s="46" t="s">
        <v>0</v>
      </c>
      <c r="B3" s="46" t="s">
        <v>1</v>
      </c>
      <c r="C3" s="34" t="s">
        <v>2</v>
      </c>
      <c r="D3" s="549" t="s">
        <v>58</v>
      </c>
      <c r="E3" s="549"/>
      <c r="F3" s="74" t="s">
        <v>179</v>
      </c>
      <c r="G3" s="436" t="s">
        <v>173</v>
      </c>
      <c r="H3" s="438"/>
      <c r="I3" s="554" t="s">
        <v>126</v>
      </c>
      <c r="J3" s="548"/>
      <c r="K3" s="491" t="s">
        <v>161</v>
      </c>
      <c r="L3" s="491"/>
      <c r="M3" s="74" t="s">
        <v>302</v>
      </c>
      <c r="N3" s="74" t="s">
        <v>152</v>
      </c>
      <c r="O3" s="74" t="s">
        <v>139</v>
      </c>
      <c r="P3" s="74" t="s">
        <v>163</v>
      </c>
      <c r="Q3" s="436" t="s">
        <v>147</v>
      </c>
      <c r="R3" s="548"/>
      <c r="S3" s="34" t="s">
        <v>59</v>
      </c>
      <c r="T3" s="436" t="s">
        <v>191</v>
      </c>
      <c r="U3" s="438"/>
      <c r="V3" s="75" t="s">
        <v>166</v>
      </c>
      <c r="W3" s="436" t="s">
        <v>170</v>
      </c>
      <c r="X3" s="548"/>
      <c r="Y3" s="436" t="s">
        <v>142</v>
      </c>
      <c r="Z3" s="438"/>
      <c r="AA3" s="46" t="s">
        <v>60</v>
      </c>
      <c r="AB3" s="46" t="s">
        <v>176</v>
      </c>
      <c r="AC3" s="491" t="s">
        <v>61</v>
      </c>
      <c r="AD3" s="549"/>
      <c r="AE3" s="436" t="s">
        <v>156</v>
      </c>
      <c r="AF3" s="548"/>
      <c r="AG3" s="514" t="s">
        <v>300</v>
      </c>
      <c r="AH3" s="34" t="s">
        <v>159</v>
      </c>
      <c r="AI3" s="549" t="s">
        <v>63</v>
      </c>
      <c r="AJ3" s="549"/>
      <c r="AK3" s="549"/>
      <c r="AL3" s="491" t="s">
        <v>130</v>
      </c>
      <c r="AM3" s="549"/>
      <c r="AN3" s="549"/>
      <c r="AO3" s="549" t="s">
        <v>64</v>
      </c>
      <c r="AP3" s="549"/>
      <c r="AQ3" s="549"/>
      <c r="AR3" s="436" t="s">
        <v>192</v>
      </c>
      <c r="AS3" s="438"/>
      <c r="AT3" s="485" t="s">
        <v>71</v>
      </c>
      <c r="AU3" s="486"/>
      <c r="AV3" s="485" t="s">
        <v>180</v>
      </c>
      <c r="AW3" s="486"/>
      <c r="AX3" s="122" t="s">
        <v>181</v>
      </c>
      <c r="AY3" s="485" t="s">
        <v>289</v>
      </c>
      <c r="AZ3" s="486"/>
      <c r="BA3" s="485" t="s">
        <v>281</v>
      </c>
      <c r="BB3" s="486"/>
      <c r="BC3" s="81" t="s">
        <v>140</v>
      </c>
      <c r="BD3" s="81" t="s">
        <v>409</v>
      </c>
      <c r="BE3" s="81" t="s">
        <v>185</v>
      </c>
      <c r="BF3" s="81" t="s">
        <v>158</v>
      </c>
      <c r="BG3" s="81" t="s">
        <v>131</v>
      </c>
      <c r="BH3" s="81" t="s">
        <v>420</v>
      </c>
      <c r="BI3" s="81" t="s">
        <v>415</v>
      </c>
      <c r="BJ3" s="81" t="s">
        <v>174</v>
      </c>
      <c r="BK3" s="485" t="s">
        <v>177</v>
      </c>
      <c r="BL3" s="486"/>
      <c r="BM3" s="81" t="s">
        <v>168</v>
      </c>
      <c r="BN3" s="81" t="s">
        <v>276</v>
      </c>
      <c r="BO3" s="81" t="s">
        <v>369</v>
      </c>
      <c r="BP3" s="81" t="s">
        <v>189</v>
      </c>
      <c r="BQ3" s="34" t="s">
        <v>41</v>
      </c>
    </row>
    <row r="4" spans="1:69" ht="20.25">
      <c r="A4" s="35"/>
      <c r="B4" s="38" t="s">
        <v>30</v>
      </c>
      <c r="C4" s="48"/>
      <c r="D4" s="49" t="s">
        <v>65</v>
      </c>
      <c r="E4" s="46" t="s">
        <v>66</v>
      </c>
      <c r="F4" s="34" t="s">
        <v>175</v>
      </c>
      <c r="G4" s="34" t="s">
        <v>150</v>
      </c>
      <c r="H4" s="34" t="s">
        <v>124</v>
      </c>
      <c r="I4" s="49" t="s">
        <v>65</v>
      </c>
      <c r="J4" s="46" t="s">
        <v>127</v>
      </c>
      <c r="K4" s="34" t="s">
        <v>92</v>
      </c>
      <c r="L4" s="34" t="s">
        <v>118</v>
      </c>
      <c r="M4" s="34" t="s">
        <v>122</v>
      </c>
      <c r="N4" s="34" t="s">
        <v>124</v>
      </c>
      <c r="O4" s="34" t="s">
        <v>84</v>
      </c>
      <c r="P4" s="34" t="s">
        <v>122</v>
      </c>
      <c r="Q4" s="34" t="s">
        <v>128</v>
      </c>
      <c r="R4" s="46" t="s">
        <v>86</v>
      </c>
      <c r="S4" s="34" t="s">
        <v>122</v>
      </c>
      <c r="T4" s="34" t="s">
        <v>187</v>
      </c>
      <c r="U4" s="34" t="s">
        <v>122</v>
      </c>
      <c r="V4" s="34" t="s">
        <v>188</v>
      </c>
      <c r="W4" s="46" t="s">
        <v>91</v>
      </c>
      <c r="X4" s="46" t="s">
        <v>121</v>
      </c>
      <c r="Y4" s="34" t="s">
        <v>91</v>
      </c>
      <c r="Z4" s="34" t="s">
        <v>128</v>
      </c>
      <c r="AA4" s="46"/>
      <c r="AB4" s="34" t="s">
        <v>86</v>
      </c>
      <c r="AC4" s="46" t="s">
        <v>67</v>
      </c>
      <c r="AD4" s="47" t="s">
        <v>68</v>
      </c>
      <c r="AE4" s="34" t="s">
        <v>150</v>
      </c>
      <c r="AF4" s="34" t="s">
        <v>124</v>
      </c>
      <c r="AG4" s="515"/>
      <c r="AH4" s="34" t="s">
        <v>86</v>
      </c>
      <c r="AI4" s="34" t="s">
        <v>133</v>
      </c>
      <c r="AJ4" s="34" t="s">
        <v>69</v>
      </c>
      <c r="AK4" s="34" t="s">
        <v>70</v>
      </c>
      <c r="AL4" s="46" t="s">
        <v>69</v>
      </c>
      <c r="AM4" s="46" t="s">
        <v>70</v>
      </c>
      <c r="AN4" s="46" t="s">
        <v>117</v>
      </c>
      <c r="AO4" s="46" t="s">
        <v>69</v>
      </c>
      <c r="AP4" s="46" t="s">
        <v>70</v>
      </c>
      <c r="AQ4" s="46" t="s">
        <v>119</v>
      </c>
      <c r="AR4" s="34" t="s">
        <v>193</v>
      </c>
      <c r="AS4" s="47" t="s">
        <v>68</v>
      </c>
      <c r="AT4" s="34" t="s">
        <v>136</v>
      </c>
      <c r="AU4" s="82" t="s">
        <v>72</v>
      </c>
      <c r="AV4" s="82" t="s">
        <v>118</v>
      </c>
      <c r="AW4" s="82" t="s">
        <v>84</v>
      </c>
      <c r="AX4" s="82" t="s">
        <v>175</v>
      </c>
      <c r="AY4" s="82" t="s">
        <v>84</v>
      </c>
      <c r="AZ4" s="82" t="s">
        <v>290</v>
      </c>
      <c r="BA4" s="82" t="s">
        <v>65</v>
      </c>
      <c r="BB4" s="82" t="s">
        <v>282</v>
      </c>
      <c r="BC4" s="82"/>
      <c r="BD4" s="82"/>
      <c r="BE4" s="82"/>
      <c r="BF4" s="81" t="s">
        <v>124</v>
      </c>
      <c r="BG4" s="82"/>
      <c r="BH4" s="82" t="s">
        <v>124</v>
      </c>
      <c r="BI4" s="82" t="s">
        <v>124</v>
      </c>
      <c r="BJ4" s="82"/>
      <c r="BK4" s="82" t="s">
        <v>150</v>
      </c>
      <c r="BL4" s="82" t="s">
        <v>86</v>
      </c>
      <c r="BM4" s="82"/>
      <c r="BN4" s="82"/>
      <c r="BO4" s="82"/>
      <c r="BP4" s="82"/>
      <c r="BQ4" s="83" t="s">
        <v>57</v>
      </c>
    </row>
    <row r="5" spans="1:69" s="98" customFormat="1" ht="28.5" customHeight="1">
      <c r="A5" s="457">
        <v>1</v>
      </c>
      <c r="B5" s="555" t="s">
        <v>31</v>
      </c>
      <c r="C5" s="457">
        <v>4304.1</v>
      </c>
      <c r="D5" s="89"/>
      <c r="E5" s="89"/>
      <c r="F5" s="89"/>
      <c r="G5" s="89"/>
      <c r="H5" s="89"/>
      <c r="I5" s="89"/>
      <c r="J5" s="89"/>
      <c r="K5" s="92">
        <v>4</v>
      </c>
      <c r="L5" s="92" t="s">
        <v>242</v>
      </c>
      <c r="M5" s="92"/>
      <c r="N5" s="92"/>
      <c r="O5" s="457"/>
      <c r="P5" s="92"/>
      <c r="Q5" s="89" t="s">
        <v>204</v>
      </c>
      <c r="R5" s="89">
        <v>68.4</v>
      </c>
      <c r="S5" s="89"/>
      <c r="T5" s="89"/>
      <c r="U5" s="89"/>
      <c r="V5" s="457"/>
      <c r="W5" s="89"/>
      <c r="X5" s="89"/>
      <c r="Y5" s="89"/>
      <c r="Z5" s="89"/>
      <c r="AA5" s="457" t="s">
        <v>248</v>
      </c>
      <c r="AB5" s="457"/>
      <c r="AC5" s="89"/>
      <c r="AD5" s="89"/>
      <c r="AE5" s="89"/>
      <c r="AF5" s="89"/>
      <c r="AG5" s="457" t="s">
        <v>248</v>
      </c>
      <c r="AH5" s="457"/>
      <c r="AI5" s="377"/>
      <c r="AJ5" s="377"/>
      <c r="AK5" s="377"/>
      <c r="AL5" s="89"/>
      <c r="AM5" s="89"/>
      <c r="AN5" s="89"/>
      <c r="AO5" s="89" t="s">
        <v>197</v>
      </c>
      <c r="AP5" s="89">
        <v>2</v>
      </c>
      <c r="AQ5" s="92" t="s">
        <v>357</v>
      </c>
      <c r="AR5" s="92"/>
      <c r="AS5" s="92"/>
      <c r="AT5" s="92"/>
      <c r="AU5" s="134"/>
      <c r="AV5" s="134"/>
      <c r="AW5" s="134"/>
      <c r="AX5" s="134"/>
      <c r="AY5" s="134"/>
      <c r="AZ5" s="134"/>
      <c r="BA5" s="362"/>
      <c r="BB5" s="362"/>
      <c r="BC5" s="451"/>
      <c r="BD5" s="487"/>
      <c r="BE5" s="487"/>
      <c r="BF5" s="539"/>
      <c r="BG5" s="451"/>
      <c r="BH5" s="220"/>
      <c r="BI5" s="451" t="s">
        <v>416</v>
      </c>
      <c r="BJ5" s="451"/>
      <c r="BK5" s="451"/>
      <c r="BL5" s="451"/>
      <c r="BM5" s="451"/>
      <c r="BN5" s="220"/>
      <c r="BO5" s="220"/>
      <c r="BP5" s="487"/>
      <c r="BQ5" s="231"/>
    </row>
    <row r="6" spans="1:69" s="98" customFormat="1" ht="29.25" customHeight="1">
      <c r="A6" s="510"/>
      <c r="B6" s="556"/>
      <c r="C6" s="558"/>
      <c r="D6" s="89"/>
      <c r="E6" s="89"/>
      <c r="F6" s="89"/>
      <c r="G6" s="89"/>
      <c r="H6" s="89"/>
      <c r="I6" s="89"/>
      <c r="J6" s="89"/>
      <c r="K6" s="92"/>
      <c r="L6" s="92"/>
      <c r="M6" s="92"/>
      <c r="N6" s="92"/>
      <c r="O6" s="458"/>
      <c r="P6" s="92"/>
      <c r="Q6" s="89"/>
      <c r="R6" s="89"/>
      <c r="S6" s="89"/>
      <c r="T6" s="89"/>
      <c r="U6" s="89"/>
      <c r="V6" s="458"/>
      <c r="W6" s="89"/>
      <c r="X6" s="89"/>
      <c r="Y6" s="89"/>
      <c r="Z6" s="89"/>
      <c r="AA6" s="458"/>
      <c r="AB6" s="458"/>
      <c r="AC6" s="89"/>
      <c r="AD6" s="89"/>
      <c r="AE6" s="89"/>
      <c r="AF6" s="89"/>
      <c r="AG6" s="458"/>
      <c r="AH6" s="458"/>
      <c r="AI6" s="381"/>
      <c r="AJ6" s="381"/>
      <c r="AK6" s="381"/>
      <c r="AL6" s="89"/>
      <c r="AM6" s="89"/>
      <c r="AN6" s="204"/>
      <c r="AO6" s="89"/>
      <c r="AP6" s="89"/>
      <c r="AQ6" s="92"/>
      <c r="AR6" s="92"/>
      <c r="AS6" s="92"/>
      <c r="AT6" s="92"/>
      <c r="AU6" s="134"/>
      <c r="AV6" s="134"/>
      <c r="AW6" s="134"/>
      <c r="AX6" s="134"/>
      <c r="AY6" s="134"/>
      <c r="AZ6" s="134"/>
      <c r="BA6" s="293"/>
      <c r="BB6" s="293"/>
      <c r="BC6" s="470"/>
      <c r="BD6" s="533"/>
      <c r="BE6" s="533"/>
      <c r="BF6" s="544"/>
      <c r="BG6" s="470"/>
      <c r="BH6" s="224"/>
      <c r="BI6" s="470"/>
      <c r="BJ6" s="470"/>
      <c r="BK6" s="470"/>
      <c r="BL6" s="470"/>
      <c r="BM6" s="470"/>
      <c r="BN6" s="224"/>
      <c r="BO6" s="224"/>
      <c r="BP6" s="533"/>
      <c r="BQ6" s="231"/>
    </row>
    <row r="7" spans="1:69" s="98" customFormat="1" ht="23.25" customHeight="1">
      <c r="A7" s="510"/>
      <c r="B7" s="556"/>
      <c r="C7" s="558"/>
      <c r="D7" s="89"/>
      <c r="E7" s="89"/>
      <c r="F7" s="89"/>
      <c r="G7" s="89"/>
      <c r="H7" s="89"/>
      <c r="I7" s="89"/>
      <c r="J7" s="89"/>
      <c r="K7" s="92"/>
      <c r="L7" s="92"/>
      <c r="M7" s="92"/>
      <c r="N7" s="92"/>
      <c r="O7" s="458"/>
      <c r="P7" s="92"/>
      <c r="Q7" s="89"/>
      <c r="R7" s="89"/>
      <c r="S7" s="89"/>
      <c r="T7" s="89"/>
      <c r="U7" s="89"/>
      <c r="V7" s="458"/>
      <c r="W7" s="89"/>
      <c r="X7" s="89"/>
      <c r="Y7" s="89"/>
      <c r="Z7" s="89"/>
      <c r="AA7" s="458"/>
      <c r="AB7" s="458"/>
      <c r="AC7" s="103"/>
      <c r="AD7" s="103"/>
      <c r="AE7" s="89"/>
      <c r="AF7" s="89"/>
      <c r="AG7" s="458"/>
      <c r="AH7" s="458"/>
      <c r="AI7" s="381"/>
      <c r="AJ7" s="381"/>
      <c r="AK7" s="381"/>
      <c r="AL7" s="89"/>
      <c r="AM7" s="89"/>
      <c r="AN7" s="89"/>
      <c r="AO7" s="89"/>
      <c r="AP7" s="89"/>
      <c r="AQ7" s="92"/>
      <c r="AR7" s="92"/>
      <c r="AS7" s="92"/>
      <c r="AT7" s="92"/>
      <c r="AU7" s="104"/>
      <c r="AV7" s="104"/>
      <c r="AW7" s="104"/>
      <c r="AX7" s="104"/>
      <c r="AY7" s="104"/>
      <c r="AZ7" s="104"/>
      <c r="BA7" s="224"/>
      <c r="BB7" s="224"/>
      <c r="BC7" s="470"/>
      <c r="BD7" s="533"/>
      <c r="BE7" s="533"/>
      <c r="BF7" s="544"/>
      <c r="BG7" s="470"/>
      <c r="BH7" s="224"/>
      <c r="BI7" s="470"/>
      <c r="BJ7" s="470"/>
      <c r="BK7" s="470"/>
      <c r="BL7" s="470"/>
      <c r="BM7" s="470"/>
      <c r="BN7" s="224"/>
      <c r="BO7" s="224"/>
      <c r="BP7" s="533"/>
      <c r="BQ7" s="231"/>
    </row>
    <row r="8" spans="1:69" s="98" customFormat="1" ht="16.5" customHeight="1">
      <c r="A8" s="510"/>
      <c r="B8" s="556"/>
      <c r="C8" s="558"/>
      <c r="D8" s="89"/>
      <c r="E8" s="89"/>
      <c r="F8" s="89"/>
      <c r="G8" s="89"/>
      <c r="H8" s="89"/>
      <c r="I8" s="89"/>
      <c r="J8" s="89"/>
      <c r="K8" s="92"/>
      <c r="L8" s="92"/>
      <c r="M8" s="92"/>
      <c r="N8" s="92"/>
      <c r="O8" s="473"/>
      <c r="P8" s="92"/>
      <c r="Q8" s="89"/>
      <c r="R8" s="89"/>
      <c r="S8" s="89"/>
      <c r="T8" s="89"/>
      <c r="U8" s="89"/>
      <c r="V8" s="473"/>
      <c r="W8" s="89"/>
      <c r="X8" s="100"/>
      <c r="Y8" s="100"/>
      <c r="Z8" s="100"/>
      <c r="AA8" s="458"/>
      <c r="AB8" s="473"/>
      <c r="AC8" s="103"/>
      <c r="AD8" s="103"/>
      <c r="AE8" s="89"/>
      <c r="AF8" s="89"/>
      <c r="AG8" s="473"/>
      <c r="AH8" s="473"/>
      <c r="AI8" s="378"/>
      <c r="AJ8" s="378"/>
      <c r="AK8" s="378"/>
      <c r="AL8" s="89"/>
      <c r="AM8" s="89"/>
      <c r="AN8" s="89"/>
      <c r="AO8" s="89"/>
      <c r="AP8" s="89"/>
      <c r="AQ8" s="92"/>
      <c r="AR8" s="92"/>
      <c r="AS8" s="92"/>
      <c r="AT8" s="92"/>
      <c r="AU8" s="104"/>
      <c r="AV8" s="104"/>
      <c r="AW8" s="104"/>
      <c r="AX8" s="104"/>
      <c r="AY8" s="104"/>
      <c r="AZ8" s="104"/>
      <c r="BA8" s="233"/>
      <c r="BB8" s="233"/>
      <c r="BC8" s="471"/>
      <c r="BD8" s="488"/>
      <c r="BE8" s="488"/>
      <c r="BF8" s="544"/>
      <c r="BG8" s="471"/>
      <c r="BH8" s="233"/>
      <c r="BI8" s="471"/>
      <c r="BJ8" s="471"/>
      <c r="BK8" s="471"/>
      <c r="BL8" s="471"/>
      <c r="BM8" s="471"/>
      <c r="BN8" s="233"/>
      <c r="BO8" s="233"/>
      <c r="BP8" s="488"/>
      <c r="BQ8" s="231"/>
    </row>
    <row r="9" spans="1:69" ht="69" customHeight="1">
      <c r="A9" s="469">
        <v>2</v>
      </c>
      <c r="B9" s="557" t="s">
        <v>32</v>
      </c>
      <c r="C9" s="469">
        <v>4391.54</v>
      </c>
      <c r="D9" s="35"/>
      <c r="E9" s="35"/>
      <c r="F9" s="35"/>
      <c r="G9" s="35"/>
      <c r="H9" s="35"/>
      <c r="I9" s="35"/>
      <c r="J9" s="35"/>
      <c r="K9" s="35">
        <v>4</v>
      </c>
      <c r="L9" s="35" t="s">
        <v>242</v>
      </c>
      <c r="M9" s="35"/>
      <c r="N9" s="35"/>
      <c r="O9" s="35"/>
      <c r="P9" s="35"/>
      <c r="Q9" s="35"/>
      <c r="R9" s="35"/>
      <c r="S9" s="35"/>
      <c r="T9" s="35"/>
      <c r="U9" s="35"/>
      <c r="V9" s="469"/>
      <c r="W9" s="35">
        <v>106</v>
      </c>
      <c r="X9" s="35" t="s">
        <v>310</v>
      </c>
      <c r="Y9" s="35"/>
      <c r="Z9" s="35"/>
      <c r="AA9" s="467" t="s">
        <v>248</v>
      </c>
      <c r="AB9" s="469"/>
      <c r="AC9" s="35" t="s">
        <v>195</v>
      </c>
      <c r="AD9" s="93">
        <v>1</v>
      </c>
      <c r="AE9" s="35"/>
      <c r="AF9" s="35"/>
      <c r="AG9" s="469" t="s">
        <v>248</v>
      </c>
      <c r="AH9" s="469"/>
      <c r="AI9" s="56"/>
      <c r="AJ9" s="56"/>
      <c r="AK9" s="56"/>
      <c r="AL9" s="35" t="s">
        <v>195</v>
      </c>
      <c r="AM9" s="35">
        <v>4</v>
      </c>
      <c r="AN9" s="35" t="s">
        <v>196</v>
      </c>
      <c r="AO9" s="35"/>
      <c r="AP9" s="35"/>
      <c r="AQ9" s="35"/>
      <c r="AR9" s="35"/>
      <c r="AS9" s="35"/>
      <c r="AT9" s="35"/>
      <c r="AU9" s="106"/>
      <c r="AV9" s="106"/>
      <c r="AW9" s="106"/>
      <c r="AX9" s="106"/>
      <c r="AY9" s="106"/>
      <c r="AZ9" s="106"/>
      <c r="BA9" s="112"/>
      <c r="BB9" s="112"/>
      <c r="BC9" s="448"/>
      <c r="BD9" s="529"/>
      <c r="BE9" s="529"/>
      <c r="BF9" s="448"/>
      <c r="BG9" s="448"/>
      <c r="BH9" s="112"/>
      <c r="BI9" s="448" t="s">
        <v>291</v>
      </c>
      <c r="BJ9" s="448"/>
      <c r="BK9" s="448"/>
      <c r="BL9" s="448"/>
      <c r="BM9" s="448"/>
      <c r="BN9" s="112"/>
      <c r="BO9" s="112"/>
      <c r="BP9" s="112"/>
      <c r="BQ9" s="232"/>
    </row>
    <row r="10" spans="1:69" ht="9.75">
      <c r="A10" s="472"/>
      <c r="B10" s="557"/>
      <c r="C10" s="472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472"/>
      <c r="W10" s="35"/>
      <c r="X10" s="35"/>
      <c r="Y10" s="35"/>
      <c r="Z10" s="35"/>
      <c r="AA10" s="467"/>
      <c r="AB10" s="472"/>
      <c r="AC10" s="93"/>
      <c r="AD10" s="93"/>
      <c r="AE10" s="35"/>
      <c r="AF10" s="35"/>
      <c r="AG10" s="472"/>
      <c r="AH10" s="472"/>
      <c r="AI10" s="197"/>
      <c r="AJ10" s="197"/>
      <c r="AK10" s="197"/>
      <c r="AL10" s="35"/>
      <c r="AM10" s="35"/>
      <c r="AN10" s="35"/>
      <c r="AO10" s="35"/>
      <c r="AP10" s="35"/>
      <c r="AQ10" s="56"/>
      <c r="AR10" s="56"/>
      <c r="AS10" s="56"/>
      <c r="AT10" s="56"/>
      <c r="AU10" s="106"/>
      <c r="AV10" s="106"/>
      <c r="AW10" s="106"/>
      <c r="AX10" s="106"/>
      <c r="AY10" s="106"/>
      <c r="AZ10" s="106"/>
      <c r="BA10" s="242"/>
      <c r="BB10" s="242"/>
      <c r="BC10" s="474"/>
      <c r="BD10" s="534"/>
      <c r="BE10" s="534"/>
      <c r="BF10" s="474"/>
      <c r="BG10" s="474"/>
      <c r="BH10" s="242"/>
      <c r="BI10" s="474"/>
      <c r="BJ10" s="474"/>
      <c r="BK10" s="474"/>
      <c r="BL10" s="474"/>
      <c r="BM10" s="474"/>
      <c r="BN10" s="242"/>
      <c r="BO10" s="242"/>
      <c r="BP10" s="242"/>
      <c r="BQ10" s="232"/>
    </row>
    <row r="11" spans="1:69" ht="9.75">
      <c r="A11" s="472"/>
      <c r="B11" s="557"/>
      <c r="C11" s="472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472"/>
      <c r="W11" s="35"/>
      <c r="X11" s="35"/>
      <c r="Y11" s="35"/>
      <c r="Z11" s="35"/>
      <c r="AA11" s="467"/>
      <c r="AB11" s="472"/>
      <c r="AC11" s="93"/>
      <c r="AD11" s="93"/>
      <c r="AE11" s="35"/>
      <c r="AF11" s="35"/>
      <c r="AG11" s="472"/>
      <c r="AH11" s="472"/>
      <c r="AI11" s="197"/>
      <c r="AJ11" s="197"/>
      <c r="AK11" s="197"/>
      <c r="AL11" s="35"/>
      <c r="AM11" s="35"/>
      <c r="AN11" s="35"/>
      <c r="AO11" s="35"/>
      <c r="AP11" s="35"/>
      <c r="AQ11" s="56"/>
      <c r="AR11" s="56"/>
      <c r="AS11" s="56"/>
      <c r="AT11" s="56"/>
      <c r="AU11" s="106"/>
      <c r="AV11" s="106"/>
      <c r="AW11" s="106"/>
      <c r="AX11" s="106"/>
      <c r="AY11" s="106"/>
      <c r="AZ11" s="106"/>
      <c r="BA11" s="242"/>
      <c r="BB11" s="242"/>
      <c r="BC11" s="474"/>
      <c r="BD11" s="534"/>
      <c r="BE11" s="534"/>
      <c r="BF11" s="474"/>
      <c r="BG11" s="474"/>
      <c r="BH11" s="242"/>
      <c r="BI11" s="474"/>
      <c r="BJ11" s="474"/>
      <c r="BK11" s="474"/>
      <c r="BL11" s="474"/>
      <c r="BM11" s="474"/>
      <c r="BN11" s="242"/>
      <c r="BO11" s="242"/>
      <c r="BP11" s="242"/>
      <c r="BQ11" s="232"/>
    </row>
    <row r="12" spans="1:69" ht="9.75">
      <c r="A12" s="472"/>
      <c r="B12" s="557"/>
      <c r="C12" s="472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478"/>
      <c r="W12" s="35"/>
      <c r="X12" s="35"/>
      <c r="Y12" s="35"/>
      <c r="Z12" s="35"/>
      <c r="AA12" s="467"/>
      <c r="AB12" s="478"/>
      <c r="AC12" s="93"/>
      <c r="AD12" s="93"/>
      <c r="AE12" s="35"/>
      <c r="AF12" s="35"/>
      <c r="AG12" s="478"/>
      <c r="AH12" s="478"/>
      <c r="AI12" s="76"/>
      <c r="AJ12" s="76"/>
      <c r="AK12" s="76"/>
      <c r="AL12" s="35"/>
      <c r="AM12" s="35"/>
      <c r="AN12" s="35"/>
      <c r="AO12" s="35"/>
      <c r="AP12" s="35"/>
      <c r="AQ12" s="56"/>
      <c r="AR12" s="56"/>
      <c r="AS12" s="56"/>
      <c r="AT12" s="56"/>
      <c r="AU12" s="106"/>
      <c r="AV12" s="106"/>
      <c r="AW12" s="106"/>
      <c r="AX12" s="106"/>
      <c r="AY12" s="106"/>
      <c r="AZ12" s="106"/>
      <c r="BA12" s="243"/>
      <c r="BB12" s="243"/>
      <c r="BC12" s="475"/>
      <c r="BD12" s="530"/>
      <c r="BE12" s="530"/>
      <c r="BF12" s="474"/>
      <c r="BG12" s="475"/>
      <c r="BH12" s="243"/>
      <c r="BI12" s="475"/>
      <c r="BJ12" s="475"/>
      <c r="BK12" s="475"/>
      <c r="BL12" s="475"/>
      <c r="BM12" s="475"/>
      <c r="BN12" s="243"/>
      <c r="BO12" s="243"/>
      <c r="BP12" s="243"/>
      <c r="BQ12" s="232"/>
    </row>
    <row r="13" spans="1:69" s="98" customFormat="1" ht="9.75">
      <c r="A13" s="457">
        <v>3</v>
      </c>
      <c r="B13" s="552" t="s">
        <v>33</v>
      </c>
      <c r="C13" s="457">
        <v>3591.8</v>
      </c>
      <c r="D13" s="61"/>
      <c r="E13" s="89"/>
      <c r="F13" s="89"/>
      <c r="G13" s="89"/>
      <c r="H13" s="89"/>
      <c r="I13" s="89"/>
      <c r="J13" s="89"/>
      <c r="K13" s="89">
        <v>2</v>
      </c>
      <c r="L13" s="89" t="s">
        <v>273</v>
      </c>
      <c r="M13" s="89"/>
      <c r="N13" s="89"/>
      <c r="O13" s="457"/>
      <c r="P13" s="89"/>
      <c r="Q13" s="89"/>
      <c r="R13" s="89"/>
      <c r="S13" s="89"/>
      <c r="T13" s="89"/>
      <c r="U13" s="89"/>
      <c r="V13" s="89"/>
      <c r="W13" s="89">
        <v>16</v>
      </c>
      <c r="X13" s="89" t="s">
        <v>354</v>
      </c>
      <c r="Y13" s="89">
        <v>7</v>
      </c>
      <c r="Z13" s="89" t="s">
        <v>247</v>
      </c>
      <c r="AA13" s="455" t="s">
        <v>248</v>
      </c>
      <c r="AB13" s="550"/>
      <c r="AC13" s="103"/>
      <c r="AD13" s="103"/>
      <c r="AE13" s="61"/>
      <c r="AF13" s="89"/>
      <c r="AG13" s="457" t="s">
        <v>248</v>
      </c>
      <c r="AH13" s="457"/>
      <c r="AI13" s="393" t="s">
        <v>375</v>
      </c>
      <c r="AJ13" s="393" t="s">
        <v>376</v>
      </c>
      <c r="AK13" s="393">
        <v>4</v>
      </c>
      <c r="AL13" s="89"/>
      <c r="AM13" s="89"/>
      <c r="AN13" s="89"/>
      <c r="AO13" s="89"/>
      <c r="AP13" s="89"/>
      <c r="AQ13" s="221"/>
      <c r="AR13" s="271"/>
      <c r="AS13" s="271"/>
      <c r="AT13" s="89" t="s">
        <v>299</v>
      </c>
      <c r="AU13" s="104" t="s">
        <v>408</v>
      </c>
      <c r="AV13" s="104"/>
      <c r="AW13" s="104"/>
      <c r="AX13" s="104"/>
      <c r="AY13" s="104"/>
      <c r="AZ13" s="104"/>
      <c r="BA13" s="220"/>
      <c r="BB13" s="220"/>
      <c r="BC13" s="451"/>
      <c r="BD13" s="487" t="s">
        <v>248</v>
      </c>
      <c r="BE13" s="487"/>
      <c r="BF13" s="451"/>
      <c r="BG13" s="451"/>
      <c r="BH13" s="220"/>
      <c r="BI13" s="451" t="s">
        <v>417</v>
      </c>
      <c r="BJ13" s="451"/>
      <c r="BK13" s="451"/>
      <c r="BL13" s="451"/>
      <c r="BM13" s="451"/>
      <c r="BN13" s="220"/>
      <c r="BO13" s="220"/>
      <c r="BP13" s="220"/>
      <c r="BQ13" s="231"/>
    </row>
    <row r="14" spans="1:69" s="98" customFormat="1" ht="36" customHeight="1">
      <c r="A14" s="473"/>
      <c r="B14" s="552"/>
      <c r="C14" s="473"/>
      <c r="D14" s="61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473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455"/>
      <c r="AB14" s="551"/>
      <c r="AC14" s="89"/>
      <c r="AD14" s="89"/>
      <c r="AE14" s="89"/>
      <c r="AF14" s="89"/>
      <c r="AG14" s="473"/>
      <c r="AH14" s="473"/>
      <c r="AI14" s="393"/>
      <c r="AJ14" s="393"/>
      <c r="AK14" s="393"/>
      <c r="AL14" s="89"/>
      <c r="AM14" s="89"/>
      <c r="AN14" s="89"/>
      <c r="AO14" s="89"/>
      <c r="AP14" s="89"/>
      <c r="AQ14" s="221"/>
      <c r="AR14" s="271"/>
      <c r="AS14" s="271"/>
      <c r="AT14" s="89"/>
      <c r="AU14" s="104"/>
      <c r="AV14" s="134"/>
      <c r="AW14" s="134"/>
      <c r="AX14" s="134"/>
      <c r="AY14" s="134"/>
      <c r="AZ14" s="134"/>
      <c r="BA14" s="292"/>
      <c r="BB14" s="292"/>
      <c r="BC14" s="471"/>
      <c r="BD14" s="488"/>
      <c r="BE14" s="488"/>
      <c r="BF14" s="471"/>
      <c r="BG14" s="471"/>
      <c r="BH14" s="233"/>
      <c r="BI14" s="471"/>
      <c r="BJ14" s="471"/>
      <c r="BK14" s="471"/>
      <c r="BL14" s="471"/>
      <c r="BM14" s="471"/>
      <c r="BN14" s="233"/>
      <c r="BO14" s="233"/>
      <c r="BP14" s="233"/>
      <c r="BQ14" s="231"/>
    </row>
    <row r="15" spans="1:69" ht="20.25">
      <c r="A15" s="469">
        <v>4</v>
      </c>
      <c r="B15" s="537" t="s">
        <v>34</v>
      </c>
      <c r="C15" s="469">
        <v>4325.5</v>
      </c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541" t="s">
        <v>242</v>
      </c>
      <c r="T15" s="93"/>
      <c r="U15" s="93"/>
      <c r="V15" s="93"/>
      <c r="W15" s="93">
        <v>20</v>
      </c>
      <c r="X15" s="93" t="s">
        <v>255</v>
      </c>
      <c r="Y15" s="93">
        <v>13</v>
      </c>
      <c r="Z15" s="35" t="s">
        <v>365</v>
      </c>
      <c r="AA15" s="541" t="s">
        <v>248</v>
      </c>
      <c r="AB15" s="541"/>
      <c r="AC15" s="93"/>
      <c r="AD15" s="93"/>
      <c r="AE15" s="93"/>
      <c r="AF15" s="93"/>
      <c r="AG15" s="541" t="s">
        <v>248</v>
      </c>
      <c r="AH15" s="541"/>
      <c r="AI15" s="198"/>
      <c r="AJ15" s="198"/>
      <c r="AK15" s="198"/>
      <c r="AL15" s="93" t="s">
        <v>195</v>
      </c>
      <c r="AM15" s="93">
        <v>2</v>
      </c>
      <c r="AN15" s="93" t="s">
        <v>196</v>
      </c>
      <c r="AO15" s="93"/>
      <c r="AP15" s="93"/>
      <c r="AQ15" s="93"/>
      <c r="AR15" s="93" t="s">
        <v>194</v>
      </c>
      <c r="AS15" s="93">
        <v>1</v>
      </c>
      <c r="AT15" s="93"/>
      <c r="AU15" s="106"/>
      <c r="AV15" s="106"/>
      <c r="AW15" s="106"/>
      <c r="AX15" s="106"/>
      <c r="AY15" s="106"/>
      <c r="AZ15" s="106"/>
      <c r="BA15" s="448" t="s">
        <v>201</v>
      </c>
      <c r="BB15" s="448" t="s">
        <v>303</v>
      </c>
      <c r="BC15" s="448"/>
      <c r="BD15" s="529"/>
      <c r="BE15" s="529"/>
      <c r="BF15" s="448"/>
      <c r="BG15" s="448" t="s">
        <v>248</v>
      </c>
      <c r="BH15" s="448" t="s">
        <v>416</v>
      </c>
      <c r="BI15" s="448" t="s">
        <v>417</v>
      </c>
      <c r="BJ15" s="448"/>
      <c r="BK15" s="448"/>
      <c r="BL15" s="448"/>
      <c r="BM15" s="448"/>
      <c r="BN15" s="112"/>
      <c r="BO15" s="112"/>
      <c r="BP15" s="112"/>
      <c r="BQ15" s="232"/>
    </row>
    <row r="16" spans="1:69" ht="9.75">
      <c r="A16" s="472"/>
      <c r="B16" s="560"/>
      <c r="C16" s="472"/>
      <c r="D16" s="218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542"/>
      <c r="T16" s="93"/>
      <c r="U16" s="93"/>
      <c r="V16" s="93"/>
      <c r="W16" s="35">
        <v>64</v>
      </c>
      <c r="X16" s="35" t="s">
        <v>272</v>
      </c>
      <c r="Y16" s="35"/>
      <c r="Z16" s="35"/>
      <c r="AA16" s="546"/>
      <c r="AB16" s="542"/>
      <c r="AC16" s="93"/>
      <c r="AD16" s="93"/>
      <c r="AE16" s="93"/>
      <c r="AF16" s="93"/>
      <c r="AG16" s="542"/>
      <c r="AH16" s="542"/>
      <c r="AI16" s="389"/>
      <c r="AJ16" s="389"/>
      <c r="AK16" s="389"/>
      <c r="AL16" s="93"/>
      <c r="AM16" s="93"/>
      <c r="AN16" s="93"/>
      <c r="AO16" s="93"/>
      <c r="AP16" s="93"/>
      <c r="AQ16" s="93"/>
      <c r="AR16" s="93"/>
      <c r="AS16" s="93"/>
      <c r="AT16" s="93"/>
      <c r="AU16" s="106"/>
      <c r="AV16" s="106"/>
      <c r="AW16" s="106"/>
      <c r="AX16" s="106"/>
      <c r="AY16" s="106"/>
      <c r="AZ16" s="106"/>
      <c r="BA16" s="474"/>
      <c r="BB16" s="474"/>
      <c r="BC16" s="474"/>
      <c r="BD16" s="534"/>
      <c r="BE16" s="534"/>
      <c r="BF16" s="474"/>
      <c r="BG16" s="474"/>
      <c r="BH16" s="474"/>
      <c r="BI16" s="474"/>
      <c r="BJ16" s="474"/>
      <c r="BK16" s="474"/>
      <c r="BL16" s="474"/>
      <c r="BM16" s="474"/>
      <c r="BN16" s="242"/>
      <c r="BO16" s="242"/>
      <c r="BP16" s="242"/>
      <c r="BQ16" s="232"/>
    </row>
    <row r="17" spans="1:69" ht="22.5" customHeight="1">
      <c r="A17" s="472"/>
      <c r="B17" s="560"/>
      <c r="C17" s="472"/>
      <c r="D17" s="218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542"/>
      <c r="T17" s="93"/>
      <c r="U17" s="93"/>
      <c r="V17" s="93"/>
      <c r="W17" s="93"/>
      <c r="X17" s="93"/>
      <c r="Y17" s="93"/>
      <c r="Z17" s="93"/>
      <c r="AA17" s="546"/>
      <c r="AB17" s="542"/>
      <c r="AC17" s="93"/>
      <c r="AD17" s="93"/>
      <c r="AE17" s="93"/>
      <c r="AF17" s="93"/>
      <c r="AG17" s="542"/>
      <c r="AH17" s="542"/>
      <c r="AI17" s="389"/>
      <c r="AJ17" s="389"/>
      <c r="AK17" s="389"/>
      <c r="AL17" s="35"/>
      <c r="AM17" s="93"/>
      <c r="AN17" s="93"/>
      <c r="AO17" s="93"/>
      <c r="AP17" s="93"/>
      <c r="AQ17" s="93"/>
      <c r="AR17" s="93"/>
      <c r="AS17" s="93"/>
      <c r="AT17" s="93"/>
      <c r="AU17" s="106"/>
      <c r="AV17" s="106"/>
      <c r="AW17" s="106"/>
      <c r="AX17" s="106"/>
      <c r="AY17" s="106"/>
      <c r="AZ17" s="106"/>
      <c r="BA17" s="474"/>
      <c r="BB17" s="474"/>
      <c r="BC17" s="474"/>
      <c r="BD17" s="534"/>
      <c r="BE17" s="534"/>
      <c r="BF17" s="474"/>
      <c r="BG17" s="474"/>
      <c r="BH17" s="474"/>
      <c r="BI17" s="474"/>
      <c r="BJ17" s="474"/>
      <c r="BK17" s="474"/>
      <c r="BL17" s="474"/>
      <c r="BM17" s="474"/>
      <c r="BN17" s="242"/>
      <c r="BO17" s="242"/>
      <c r="BP17" s="242"/>
      <c r="BQ17" s="232"/>
    </row>
    <row r="18" spans="1:69" ht="9.75">
      <c r="A18" s="472"/>
      <c r="B18" s="560"/>
      <c r="C18" s="472"/>
      <c r="D18" s="218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543"/>
      <c r="T18" s="93"/>
      <c r="U18" s="93"/>
      <c r="V18" s="93"/>
      <c r="W18" s="93"/>
      <c r="X18" s="93"/>
      <c r="Y18" s="93"/>
      <c r="Z18" s="93"/>
      <c r="AA18" s="546"/>
      <c r="AB18" s="543"/>
      <c r="AC18" s="93"/>
      <c r="AD18" s="93"/>
      <c r="AE18" s="93"/>
      <c r="AF18" s="93"/>
      <c r="AG18" s="542"/>
      <c r="AH18" s="543"/>
      <c r="AI18" s="388"/>
      <c r="AJ18" s="388"/>
      <c r="AK18" s="388"/>
      <c r="AL18" s="93"/>
      <c r="AM18" s="93"/>
      <c r="AN18" s="93"/>
      <c r="AO18" s="93"/>
      <c r="AP18" s="93"/>
      <c r="AQ18" s="93"/>
      <c r="AR18" s="93"/>
      <c r="AS18" s="93"/>
      <c r="AT18" s="93"/>
      <c r="AU18" s="106"/>
      <c r="AV18" s="106"/>
      <c r="AW18" s="106"/>
      <c r="AX18" s="106"/>
      <c r="AY18" s="106"/>
      <c r="AZ18" s="106"/>
      <c r="BA18" s="475"/>
      <c r="BB18" s="475"/>
      <c r="BC18" s="475"/>
      <c r="BD18" s="530"/>
      <c r="BE18" s="530"/>
      <c r="BF18" s="474"/>
      <c r="BG18" s="475"/>
      <c r="BH18" s="475"/>
      <c r="BI18" s="475"/>
      <c r="BJ18" s="475"/>
      <c r="BK18" s="475"/>
      <c r="BL18" s="475"/>
      <c r="BM18" s="475"/>
      <c r="BN18" s="243"/>
      <c r="BO18" s="243"/>
      <c r="BP18" s="243"/>
      <c r="BQ18" s="232"/>
    </row>
    <row r="19" spans="1:69" s="98" customFormat="1" ht="39.75" customHeight="1">
      <c r="A19" s="457">
        <v>5</v>
      </c>
      <c r="B19" s="552" t="s">
        <v>35</v>
      </c>
      <c r="C19" s="457">
        <v>4475.2</v>
      </c>
      <c r="D19" s="103"/>
      <c r="E19" s="103"/>
      <c r="F19" s="103"/>
      <c r="G19" s="103"/>
      <c r="H19" s="103"/>
      <c r="I19" s="103"/>
      <c r="J19" s="103"/>
      <c r="K19" s="103"/>
      <c r="L19" s="103"/>
      <c r="M19" s="103" t="s">
        <v>273</v>
      </c>
      <c r="N19" s="103"/>
      <c r="O19" s="103"/>
      <c r="P19" s="103"/>
      <c r="Q19" s="225"/>
      <c r="R19" s="103"/>
      <c r="S19" s="103" t="s">
        <v>273</v>
      </c>
      <c r="T19" s="103"/>
      <c r="U19" s="103"/>
      <c r="V19" s="103"/>
      <c r="W19" s="89"/>
      <c r="X19" s="89"/>
      <c r="Y19" s="103"/>
      <c r="Z19" s="103"/>
      <c r="AA19" s="539" t="s">
        <v>248</v>
      </c>
      <c r="AB19" s="539"/>
      <c r="AC19" s="103"/>
      <c r="AD19" s="103"/>
      <c r="AE19" s="103" t="s">
        <v>197</v>
      </c>
      <c r="AF19" s="103">
        <v>2</v>
      </c>
      <c r="AG19" s="539" t="s">
        <v>248</v>
      </c>
      <c r="AH19" s="539"/>
      <c r="AI19" s="225"/>
      <c r="AJ19" s="225"/>
      <c r="AK19" s="225"/>
      <c r="AL19" s="103" t="s">
        <v>197</v>
      </c>
      <c r="AM19" s="103">
        <v>4</v>
      </c>
      <c r="AN19" s="103" t="s">
        <v>196</v>
      </c>
      <c r="AO19" s="103"/>
      <c r="AP19" s="103"/>
      <c r="AQ19" s="103"/>
      <c r="AR19" s="103"/>
      <c r="AS19" s="103"/>
      <c r="AT19" s="103"/>
      <c r="AU19" s="104"/>
      <c r="AV19" s="104"/>
      <c r="AW19" s="104"/>
      <c r="AX19" s="104"/>
      <c r="AY19" s="104"/>
      <c r="AZ19" s="104"/>
      <c r="BA19" s="220"/>
      <c r="BB19" s="220"/>
      <c r="BC19" s="451"/>
      <c r="BD19" s="487"/>
      <c r="BE19" s="487"/>
      <c r="BF19" s="451"/>
      <c r="BG19" s="451"/>
      <c r="BH19" s="220"/>
      <c r="BI19" s="451"/>
      <c r="BJ19" s="451"/>
      <c r="BK19" s="451"/>
      <c r="BL19" s="451"/>
      <c r="BM19" s="451"/>
      <c r="BN19" s="220"/>
      <c r="BO19" s="220"/>
      <c r="BP19" s="220"/>
      <c r="BQ19" s="231"/>
    </row>
    <row r="20" spans="1:69" s="98" customFormat="1" ht="12.75" customHeight="1">
      <c r="A20" s="458"/>
      <c r="B20" s="559"/>
      <c r="C20" s="510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547"/>
      <c r="AB20" s="540"/>
      <c r="AC20" s="103"/>
      <c r="AD20" s="103"/>
      <c r="AE20" s="103"/>
      <c r="AF20" s="103"/>
      <c r="AG20" s="540"/>
      <c r="AH20" s="540"/>
      <c r="AI20" s="391"/>
      <c r="AJ20" s="391"/>
      <c r="AK20" s="391"/>
      <c r="AL20" s="103"/>
      <c r="AM20" s="103"/>
      <c r="AN20" s="103"/>
      <c r="AO20" s="103"/>
      <c r="AP20" s="103"/>
      <c r="AQ20" s="103"/>
      <c r="AR20" s="103"/>
      <c r="AS20" s="103"/>
      <c r="AT20" s="103"/>
      <c r="AU20" s="104"/>
      <c r="AV20" s="104"/>
      <c r="AW20" s="104"/>
      <c r="AX20" s="104"/>
      <c r="AY20" s="104"/>
      <c r="AZ20" s="104"/>
      <c r="BA20" s="233"/>
      <c r="BB20" s="233"/>
      <c r="BC20" s="471"/>
      <c r="BD20" s="488"/>
      <c r="BE20" s="488"/>
      <c r="BF20" s="471"/>
      <c r="BG20" s="471"/>
      <c r="BH20" s="233"/>
      <c r="BI20" s="471"/>
      <c r="BJ20" s="471"/>
      <c r="BK20" s="471"/>
      <c r="BL20" s="471"/>
      <c r="BM20" s="471"/>
      <c r="BN20" s="233"/>
      <c r="BO20" s="233"/>
      <c r="BP20" s="233"/>
      <c r="BQ20" s="231"/>
    </row>
    <row r="21" spans="1:69" ht="9.75">
      <c r="A21" s="469">
        <v>6</v>
      </c>
      <c r="B21" s="537" t="s">
        <v>36</v>
      </c>
      <c r="C21" s="469">
        <v>4321.57</v>
      </c>
      <c r="D21" s="35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>
        <v>6</v>
      </c>
      <c r="X21" s="93" t="s">
        <v>355</v>
      </c>
      <c r="Y21" s="93"/>
      <c r="Z21" s="93"/>
      <c r="AA21" s="541" t="s">
        <v>248</v>
      </c>
      <c r="AB21" s="541"/>
      <c r="AC21" s="93"/>
      <c r="AD21" s="93"/>
      <c r="AE21" s="93"/>
      <c r="AF21" s="93"/>
      <c r="AG21" s="541" t="s">
        <v>248</v>
      </c>
      <c r="AH21" s="541"/>
      <c r="AI21" s="198"/>
      <c r="AJ21" s="198"/>
      <c r="AK21" s="198"/>
      <c r="AL21" s="93" t="s">
        <v>197</v>
      </c>
      <c r="AM21" s="93">
        <v>4</v>
      </c>
      <c r="AN21" s="93" t="s">
        <v>198</v>
      </c>
      <c r="AO21" s="35" t="s">
        <v>206</v>
      </c>
      <c r="AP21" s="93">
        <v>9</v>
      </c>
      <c r="AQ21" s="35" t="s">
        <v>246</v>
      </c>
      <c r="AR21" s="35" t="s">
        <v>200</v>
      </c>
      <c r="AS21" s="35">
        <v>1</v>
      </c>
      <c r="AT21" s="93" t="s">
        <v>227</v>
      </c>
      <c r="AU21" s="106" t="s">
        <v>386</v>
      </c>
      <c r="AV21" s="106"/>
      <c r="AW21" s="106"/>
      <c r="AX21" s="106"/>
      <c r="AY21" s="106"/>
      <c r="AZ21" s="106"/>
      <c r="BA21" s="112"/>
      <c r="BB21" s="112"/>
      <c r="BC21" s="448"/>
      <c r="BD21" s="529"/>
      <c r="BE21" s="529"/>
      <c r="BF21" s="448"/>
      <c r="BG21" s="448"/>
      <c r="BH21" s="112"/>
      <c r="BI21" s="448"/>
      <c r="BJ21" s="448"/>
      <c r="BK21" s="448"/>
      <c r="BL21" s="448"/>
      <c r="BM21" s="448"/>
      <c r="BN21" s="112"/>
      <c r="BO21" s="112"/>
      <c r="BP21" s="112"/>
      <c r="BQ21" s="232"/>
    </row>
    <row r="22" spans="1:69" ht="9.75">
      <c r="A22" s="472"/>
      <c r="B22" s="560"/>
      <c r="C22" s="472"/>
      <c r="D22" s="35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542"/>
      <c r="AB22" s="542"/>
      <c r="AC22" s="93"/>
      <c r="AD22" s="93"/>
      <c r="AE22" s="93"/>
      <c r="AF22" s="93"/>
      <c r="AG22" s="542"/>
      <c r="AH22" s="542"/>
      <c r="AI22" s="389"/>
      <c r="AJ22" s="389"/>
      <c r="AK22" s="389"/>
      <c r="AL22" s="93" t="s">
        <v>199</v>
      </c>
      <c r="AM22" s="93">
        <v>1</v>
      </c>
      <c r="AN22" s="93" t="s">
        <v>198</v>
      </c>
      <c r="AO22" s="35" t="s">
        <v>197</v>
      </c>
      <c r="AP22" s="93">
        <v>5</v>
      </c>
      <c r="AQ22" s="35" t="s">
        <v>246</v>
      </c>
      <c r="AR22" s="35"/>
      <c r="AS22" s="35"/>
      <c r="AT22" s="93"/>
      <c r="AU22" s="106"/>
      <c r="AV22" s="106"/>
      <c r="AW22" s="106"/>
      <c r="AX22" s="106"/>
      <c r="AY22" s="106"/>
      <c r="AZ22" s="106"/>
      <c r="BA22" s="242"/>
      <c r="BB22" s="242"/>
      <c r="BC22" s="474"/>
      <c r="BD22" s="534"/>
      <c r="BE22" s="534"/>
      <c r="BF22" s="474"/>
      <c r="BG22" s="474"/>
      <c r="BH22" s="242"/>
      <c r="BI22" s="474"/>
      <c r="BJ22" s="474"/>
      <c r="BK22" s="474"/>
      <c r="BL22" s="474"/>
      <c r="BM22" s="474"/>
      <c r="BN22" s="242"/>
      <c r="BO22" s="242"/>
      <c r="BP22" s="242"/>
      <c r="BQ22" s="232"/>
    </row>
    <row r="23" spans="1:69" ht="9.75">
      <c r="A23" s="472"/>
      <c r="B23" s="560"/>
      <c r="C23" s="472"/>
      <c r="D23" s="35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542"/>
      <c r="AB23" s="542"/>
      <c r="AC23" s="93"/>
      <c r="AD23" s="93"/>
      <c r="AE23" s="93"/>
      <c r="AF23" s="93"/>
      <c r="AG23" s="542"/>
      <c r="AH23" s="542"/>
      <c r="AI23" s="389"/>
      <c r="AJ23" s="389"/>
      <c r="AK23" s="389"/>
      <c r="AL23" s="93" t="s">
        <v>201</v>
      </c>
      <c r="AM23" s="93">
        <v>2</v>
      </c>
      <c r="AN23" s="93" t="s">
        <v>198</v>
      </c>
      <c r="AO23" s="35" t="s">
        <v>206</v>
      </c>
      <c r="AP23" s="93">
        <v>8.5</v>
      </c>
      <c r="AQ23" s="35" t="s">
        <v>385</v>
      </c>
      <c r="AR23" s="35"/>
      <c r="AS23" s="35"/>
      <c r="AT23" s="93"/>
      <c r="AU23" s="106"/>
      <c r="AV23" s="106"/>
      <c r="AW23" s="106"/>
      <c r="AX23" s="106"/>
      <c r="AY23" s="106"/>
      <c r="AZ23" s="106"/>
      <c r="BA23" s="242"/>
      <c r="BB23" s="242"/>
      <c r="BC23" s="474"/>
      <c r="BD23" s="534"/>
      <c r="BE23" s="534"/>
      <c r="BF23" s="474"/>
      <c r="BG23" s="474"/>
      <c r="BH23" s="242"/>
      <c r="BI23" s="474"/>
      <c r="BJ23" s="474"/>
      <c r="BK23" s="474"/>
      <c r="BL23" s="474"/>
      <c r="BM23" s="474"/>
      <c r="BN23" s="242"/>
      <c r="BO23" s="242"/>
      <c r="BP23" s="242"/>
      <c r="BQ23" s="232"/>
    </row>
    <row r="24" spans="1:69" ht="9.75">
      <c r="A24" s="472"/>
      <c r="B24" s="560"/>
      <c r="C24" s="472"/>
      <c r="D24" s="35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542"/>
      <c r="AB24" s="542"/>
      <c r="AC24" s="93"/>
      <c r="AD24" s="93"/>
      <c r="AE24" s="93"/>
      <c r="AF24" s="93"/>
      <c r="AG24" s="542"/>
      <c r="AH24" s="542"/>
      <c r="AI24" s="389"/>
      <c r="AJ24" s="389"/>
      <c r="AK24" s="389"/>
      <c r="AL24" s="93" t="s">
        <v>199</v>
      </c>
      <c r="AM24" s="93">
        <v>16</v>
      </c>
      <c r="AN24" s="93" t="s">
        <v>384</v>
      </c>
      <c r="AO24" s="35"/>
      <c r="AP24" s="93"/>
      <c r="AQ24" s="35"/>
      <c r="AR24" s="35"/>
      <c r="AS24" s="35"/>
      <c r="AT24" s="93"/>
      <c r="AU24" s="106"/>
      <c r="AV24" s="106"/>
      <c r="AW24" s="106"/>
      <c r="AX24" s="106"/>
      <c r="AY24" s="106"/>
      <c r="AZ24" s="106"/>
      <c r="BA24" s="242"/>
      <c r="BB24" s="242"/>
      <c r="BC24" s="474"/>
      <c r="BD24" s="534"/>
      <c r="BE24" s="534"/>
      <c r="BF24" s="474"/>
      <c r="BG24" s="474"/>
      <c r="BH24" s="242"/>
      <c r="BI24" s="474"/>
      <c r="BJ24" s="474"/>
      <c r="BK24" s="474"/>
      <c r="BL24" s="474"/>
      <c r="BM24" s="474"/>
      <c r="BN24" s="242"/>
      <c r="BO24" s="242"/>
      <c r="BP24" s="242"/>
      <c r="BQ24" s="232"/>
    </row>
    <row r="25" spans="1:69" ht="9.75">
      <c r="A25" s="472"/>
      <c r="B25" s="560"/>
      <c r="C25" s="472"/>
      <c r="D25" s="35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542"/>
      <c r="AB25" s="542"/>
      <c r="AC25" s="93"/>
      <c r="AD25" s="93"/>
      <c r="AE25" s="93"/>
      <c r="AF25" s="93"/>
      <c r="AG25" s="542"/>
      <c r="AH25" s="542"/>
      <c r="AI25" s="389"/>
      <c r="AJ25" s="389"/>
      <c r="AK25" s="389"/>
      <c r="AL25" s="93" t="s">
        <v>201</v>
      </c>
      <c r="AM25" s="93">
        <v>1</v>
      </c>
      <c r="AN25" s="93" t="s">
        <v>384</v>
      </c>
      <c r="AO25" s="35"/>
      <c r="AP25" s="93"/>
      <c r="AQ25" s="35"/>
      <c r="AR25" s="35"/>
      <c r="AS25" s="35"/>
      <c r="AT25" s="93"/>
      <c r="AU25" s="106"/>
      <c r="AV25" s="106"/>
      <c r="AW25" s="106"/>
      <c r="AX25" s="106"/>
      <c r="AY25" s="106"/>
      <c r="AZ25" s="106"/>
      <c r="BA25" s="242"/>
      <c r="BB25" s="242"/>
      <c r="BC25" s="474"/>
      <c r="BD25" s="534"/>
      <c r="BE25" s="534"/>
      <c r="BF25" s="474"/>
      <c r="BG25" s="474"/>
      <c r="BH25" s="242"/>
      <c r="BI25" s="474"/>
      <c r="BJ25" s="474"/>
      <c r="BK25" s="474"/>
      <c r="BL25" s="474"/>
      <c r="BM25" s="474"/>
      <c r="BN25" s="242"/>
      <c r="BO25" s="242"/>
      <c r="BP25" s="242"/>
      <c r="BQ25" s="232"/>
    </row>
    <row r="26" spans="1:69" ht="9.75">
      <c r="A26" s="472"/>
      <c r="B26" s="560"/>
      <c r="C26" s="472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542"/>
      <c r="AB26" s="543"/>
      <c r="AC26" s="93"/>
      <c r="AD26" s="93"/>
      <c r="AE26" s="93"/>
      <c r="AF26" s="93"/>
      <c r="AG26" s="542"/>
      <c r="AH26" s="543"/>
      <c r="AI26" s="388"/>
      <c r="AJ26" s="388"/>
      <c r="AK26" s="388"/>
      <c r="AL26" s="35"/>
      <c r="AM26" s="35"/>
      <c r="AN26" s="35"/>
      <c r="AO26" s="93"/>
      <c r="AP26" s="93"/>
      <c r="AQ26" s="93"/>
      <c r="AR26" s="93"/>
      <c r="AS26" s="93"/>
      <c r="AT26" s="93"/>
      <c r="AU26" s="106"/>
      <c r="AV26" s="106"/>
      <c r="AW26" s="106"/>
      <c r="AX26" s="106"/>
      <c r="AY26" s="106"/>
      <c r="AZ26" s="106"/>
      <c r="BA26" s="243"/>
      <c r="BB26" s="243"/>
      <c r="BC26" s="475"/>
      <c r="BD26" s="530"/>
      <c r="BE26" s="530"/>
      <c r="BF26" s="475"/>
      <c r="BG26" s="475"/>
      <c r="BH26" s="243"/>
      <c r="BI26" s="475"/>
      <c r="BJ26" s="475"/>
      <c r="BK26" s="475"/>
      <c r="BL26" s="475"/>
      <c r="BM26" s="475"/>
      <c r="BN26" s="243"/>
      <c r="BO26" s="243"/>
      <c r="BP26" s="243"/>
      <c r="BQ26" s="232"/>
    </row>
    <row r="27" spans="1:69" s="98" customFormat="1" ht="12.75" customHeight="1">
      <c r="A27" s="458">
        <v>7</v>
      </c>
      <c r="B27" s="552" t="s">
        <v>37</v>
      </c>
      <c r="C27" s="457">
        <v>3437.7</v>
      </c>
      <c r="D27" s="196"/>
      <c r="E27" s="103"/>
      <c r="F27" s="103"/>
      <c r="G27" s="103"/>
      <c r="H27" s="103"/>
      <c r="I27" s="103"/>
      <c r="J27" s="103"/>
      <c r="K27" s="89"/>
      <c r="L27" s="89"/>
      <c r="M27" s="89"/>
      <c r="N27" s="89"/>
      <c r="O27" s="89"/>
      <c r="P27" s="103"/>
      <c r="Q27" s="103"/>
      <c r="R27" s="103"/>
      <c r="S27" s="539" t="s">
        <v>294</v>
      </c>
      <c r="T27" s="103"/>
      <c r="U27" s="103"/>
      <c r="V27" s="103"/>
      <c r="W27" s="103">
        <v>64</v>
      </c>
      <c r="X27" s="103" t="s">
        <v>311</v>
      </c>
      <c r="Y27" s="103"/>
      <c r="Z27" s="103"/>
      <c r="AA27" s="545" t="s">
        <v>248</v>
      </c>
      <c r="AB27" s="539"/>
      <c r="AC27" s="103" t="s">
        <v>201</v>
      </c>
      <c r="AD27" s="103">
        <v>5</v>
      </c>
      <c r="AE27" s="103"/>
      <c r="AF27" s="89"/>
      <c r="AG27" s="539" t="s">
        <v>248</v>
      </c>
      <c r="AH27" s="539"/>
      <c r="AI27" s="225"/>
      <c r="AJ27" s="225"/>
      <c r="AK27" s="225"/>
      <c r="AL27" s="103"/>
      <c r="AM27" s="103"/>
      <c r="AN27" s="89"/>
      <c r="AO27" s="89" t="s">
        <v>206</v>
      </c>
      <c r="AP27" s="103">
        <v>3</v>
      </c>
      <c r="AQ27" s="103" t="s">
        <v>366</v>
      </c>
      <c r="AR27" s="103"/>
      <c r="AS27" s="103"/>
      <c r="AT27" s="103"/>
      <c r="AU27" s="104"/>
      <c r="AV27" s="104"/>
      <c r="AW27" s="104"/>
      <c r="AX27" s="104"/>
      <c r="AY27" s="104"/>
      <c r="AZ27" s="104"/>
      <c r="BA27" s="220"/>
      <c r="BB27" s="220"/>
      <c r="BC27" s="451"/>
      <c r="BD27" s="487" t="s">
        <v>248</v>
      </c>
      <c r="BE27" s="487"/>
      <c r="BF27" s="451"/>
      <c r="BG27" s="451" t="s">
        <v>248</v>
      </c>
      <c r="BH27" s="451" t="s">
        <v>417</v>
      </c>
      <c r="BI27" s="451" t="s">
        <v>417</v>
      </c>
      <c r="BJ27" s="451"/>
      <c r="BK27" s="451"/>
      <c r="BL27" s="451"/>
      <c r="BM27" s="451"/>
      <c r="BN27" s="451" t="s">
        <v>248</v>
      </c>
      <c r="BO27" s="220"/>
      <c r="BP27" s="220"/>
      <c r="BQ27" s="231"/>
    </row>
    <row r="28" spans="1:69" s="98" customFormat="1" ht="11.25" customHeight="1">
      <c r="A28" s="458"/>
      <c r="B28" s="552"/>
      <c r="C28" s="458"/>
      <c r="D28" s="103"/>
      <c r="E28" s="103"/>
      <c r="F28" s="103"/>
      <c r="G28" s="103"/>
      <c r="H28" s="103"/>
      <c r="I28" s="103"/>
      <c r="J28" s="103"/>
      <c r="K28" s="89"/>
      <c r="L28" s="89"/>
      <c r="M28" s="89"/>
      <c r="N28" s="89"/>
      <c r="O28" s="89"/>
      <c r="P28" s="103"/>
      <c r="Q28" s="103"/>
      <c r="R28" s="103"/>
      <c r="S28" s="544"/>
      <c r="T28" s="103"/>
      <c r="U28" s="103"/>
      <c r="V28" s="103"/>
      <c r="W28" s="103"/>
      <c r="X28" s="103"/>
      <c r="Y28" s="103"/>
      <c r="Z28" s="103"/>
      <c r="AA28" s="545"/>
      <c r="AB28" s="544"/>
      <c r="AC28" s="103" t="s">
        <v>257</v>
      </c>
      <c r="AD28" s="103">
        <v>2</v>
      </c>
      <c r="AE28" s="103"/>
      <c r="AF28" s="89"/>
      <c r="AG28" s="544"/>
      <c r="AH28" s="544"/>
      <c r="AI28" s="390"/>
      <c r="AJ28" s="390"/>
      <c r="AK28" s="390"/>
      <c r="AL28" s="89"/>
      <c r="AM28" s="103"/>
      <c r="AN28" s="103"/>
      <c r="AO28" s="89"/>
      <c r="AP28" s="103"/>
      <c r="AQ28" s="103"/>
      <c r="AR28" s="103"/>
      <c r="AS28" s="103"/>
      <c r="AT28" s="103"/>
      <c r="AU28" s="104"/>
      <c r="AV28" s="104"/>
      <c r="AW28" s="104"/>
      <c r="AX28" s="104"/>
      <c r="AY28" s="104"/>
      <c r="AZ28" s="104"/>
      <c r="BA28" s="224"/>
      <c r="BB28" s="224"/>
      <c r="BC28" s="470"/>
      <c r="BD28" s="533"/>
      <c r="BE28" s="533"/>
      <c r="BF28" s="470"/>
      <c r="BG28" s="470"/>
      <c r="BH28" s="470"/>
      <c r="BI28" s="470"/>
      <c r="BJ28" s="470"/>
      <c r="BK28" s="470"/>
      <c r="BL28" s="470"/>
      <c r="BM28" s="470"/>
      <c r="BN28" s="470"/>
      <c r="BO28" s="224"/>
      <c r="BP28" s="224"/>
      <c r="BQ28" s="231"/>
    </row>
    <row r="29" spans="1:69" s="98" customFormat="1" ht="33.75" customHeight="1">
      <c r="A29" s="458"/>
      <c r="B29" s="552"/>
      <c r="C29" s="458"/>
      <c r="D29" s="103"/>
      <c r="E29" s="103"/>
      <c r="F29" s="103"/>
      <c r="G29" s="103"/>
      <c r="H29" s="103"/>
      <c r="I29" s="103"/>
      <c r="J29" s="103"/>
      <c r="K29" s="89"/>
      <c r="L29" s="89"/>
      <c r="M29" s="89"/>
      <c r="N29" s="89"/>
      <c r="O29" s="89"/>
      <c r="P29" s="103"/>
      <c r="Q29" s="103"/>
      <c r="R29" s="103"/>
      <c r="S29" s="544"/>
      <c r="T29" s="103"/>
      <c r="U29" s="103"/>
      <c r="V29" s="103"/>
      <c r="W29" s="89"/>
      <c r="X29" s="103"/>
      <c r="Y29" s="103"/>
      <c r="Z29" s="103"/>
      <c r="AA29" s="545"/>
      <c r="AB29" s="544"/>
      <c r="AC29" s="103"/>
      <c r="AD29" s="103"/>
      <c r="AE29" s="103"/>
      <c r="AF29" s="89"/>
      <c r="AG29" s="544"/>
      <c r="AH29" s="544"/>
      <c r="AI29" s="390"/>
      <c r="AJ29" s="390"/>
      <c r="AK29" s="390"/>
      <c r="AL29" s="89"/>
      <c r="AM29" s="103"/>
      <c r="AN29" s="103"/>
      <c r="AO29" s="89"/>
      <c r="AP29" s="103"/>
      <c r="AQ29" s="103"/>
      <c r="AR29" s="103"/>
      <c r="AS29" s="103"/>
      <c r="AT29" s="103"/>
      <c r="AU29" s="104"/>
      <c r="AV29" s="104"/>
      <c r="AW29" s="104"/>
      <c r="AX29" s="104"/>
      <c r="AY29" s="104"/>
      <c r="AZ29" s="104"/>
      <c r="BA29" s="224"/>
      <c r="BB29" s="224"/>
      <c r="BC29" s="470"/>
      <c r="BD29" s="533"/>
      <c r="BE29" s="533"/>
      <c r="BF29" s="470"/>
      <c r="BG29" s="470"/>
      <c r="BH29" s="470"/>
      <c r="BI29" s="470"/>
      <c r="BJ29" s="470"/>
      <c r="BK29" s="470"/>
      <c r="BL29" s="470"/>
      <c r="BM29" s="470"/>
      <c r="BN29" s="470"/>
      <c r="BO29" s="224"/>
      <c r="BP29" s="224"/>
      <c r="BQ29" s="231"/>
    </row>
    <row r="30" spans="1:69" s="98" customFormat="1" ht="11.25" customHeight="1">
      <c r="A30" s="458"/>
      <c r="B30" s="552"/>
      <c r="C30" s="458"/>
      <c r="D30" s="103"/>
      <c r="E30" s="103"/>
      <c r="F30" s="103"/>
      <c r="G30" s="103"/>
      <c r="H30" s="103"/>
      <c r="I30" s="103"/>
      <c r="J30" s="103"/>
      <c r="K30" s="89"/>
      <c r="L30" s="89"/>
      <c r="M30" s="89"/>
      <c r="N30" s="89"/>
      <c r="O30" s="89"/>
      <c r="P30" s="103"/>
      <c r="Q30" s="103"/>
      <c r="R30" s="103"/>
      <c r="S30" s="540"/>
      <c r="T30" s="103"/>
      <c r="U30" s="103"/>
      <c r="V30" s="103"/>
      <c r="W30" s="103"/>
      <c r="X30" s="103"/>
      <c r="Y30" s="103"/>
      <c r="Z30" s="103"/>
      <c r="AA30" s="545"/>
      <c r="AB30" s="540"/>
      <c r="AC30" s="103"/>
      <c r="AD30" s="103"/>
      <c r="AE30" s="103"/>
      <c r="AF30" s="89"/>
      <c r="AG30" s="540"/>
      <c r="AH30" s="540"/>
      <c r="AI30" s="391"/>
      <c r="AJ30" s="391"/>
      <c r="AK30" s="391"/>
      <c r="AL30" s="89"/>
      <c r="AM30" s="103"/>
      <c r="AN30" s="103"/>
      <c r="AO30" s="89"/>
      <c r="AP30" s="103"/>
      <c r="AQ30" s="103"/>
      <c r="AR30" s="103"/>
      <c r="AS30" s="103"/>
      <c r="AT30" s="103"/>
      <c r="AU30" s="104"/>
      <c r="AV30" s="104"/>
      <c r="AW30" s="104"/>
      <c r="AX30" s="104"/>
      <c r="AY30" s="104"/>
      <c r="AZ30" s="104"/>
      <c r="BA30" s="224"/>
      <c r="BB30" s="224"/>
      <c r="BC30" s="470"/>
      <c r="BD30" s="488"/>
      <c r="BE30" s="488"/>
      <c r="BF30" s="470"/>
      <c r="BG30" s="471"/>
      <c r="BH30" s="471"/>
      <c r="BI30" s="471"/>
      <c r="BJ30" s="471"/>
      <c r="BK30" s="471"/>
      <c r="BL30" s="471"/>
      <c r="BM30" s="471"/>
      <c r="BN30" s="471"/>
      <c r="BO30" s="233"/>
      <c r="BP30" s="233"/>
      <c r="BQ30" s="231"/>
    </row>
    <row r="31" spans="1:69" ht="12.75" customHeight="1">
      <c r="A31" s="472">
        <v>8</v>
      </c>
      <c r="B31" s="537" t="s">
        <v>38</v>
      </c>
      <c r="C31" s="469">
        <v>3015.8</v>
      </c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541" t="s">
        <v>248</v>
      </c>
      <c r="AB31" s="541"/>
      <c r="AC31" s="35"/>
      <c r="AD31" s="93"/>
      <c r="AE31" s="93"/>
      <c r="AF31" s="93"/>
      <c r="AG31" s="541" t="s">
        <v>248</v>
      </c>
      <c r="AH31" s="541"/>
      <c r="AI31" s="198"/>
      <c r="AJ31" s="198"/>
      <c r="AK31" s="198"/>
      <c r="AL31" s="218"/>
      <c r="AM31" s="93"/>
      <c r="AN31" s="218"/>
      <c r="AO31" s="93"/>
      <c r="AP31" s="93"/>
      <c r="AQ31" s="93"/>
      <c r="AR31" s="93"/>
      <c r="AS31" s="93"/>
      <c r="AT31" s="93"/>
      <c r="AU31" s="106"/>
      <c r="AV31" s="106"/>
      <c r="AW31" s="106"/>
      <c r="AX31" s="106"/>
      <c r="AY31" s="106" t="s">
        <v>291</v>
      </c>
      <c r="AZ31" s="106" t="s">
        <v>292</v>
      </c>
      <c r="BA31" s="448" t="s">
        <v>201</v>
      </c>
      <c r="BB31" s="448" t="s">
        <v>283</v>
      </c>
      <c r="BC31" s="448"/>
      <c r="BD31" s="529" t="s">
        <v>248</v>
      </c>
      <c r="BE31" s="529"/>
      <c r="BF31" s="448"/>
      <c r="BG31" s="448"/>
      <c r="BH31" s="112"/>
      <c r="BI31" s="448" t="s">
        <v>417</v>
      </c>
      <c r="BJ31" s="448"/>
      <c r="BK31" s="448"/>
      <c r="BL31" s="448"/>
      <c r="BM31" s="448"/>
      <c r="BN31" s="112"/>
      <c r="BO31" s="448" t="s">
        <v>248</v>
      </c>
      <c r="BP31" s="112"/>
      <c r="BQ31" s="232"/>
    </row>
    <row r="32" spans="1:69" ht="26.25" customHeight="1">
      <c r="A32" s="478"/>
      <c r="B32" s="538"/>
      <c r="C32" s="478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543"/>
      <c r="AB32" s="543"/>
      <c r="AC32" s="35"/>
      <c r="AD32" s="93"/>
      <c r="AE32" s="35"/>
      <c r="AF32" s="93"/>
      <c r="AG32" s="543"/>
      <c r="AH32" s="543"/>
      <c r="AI32" s="388"/>
      <c r="AJ32" s="388"/>
      <c r="AK32" s="388"/>
      <c r="AL32" s="93"/>
      <c r="AM32" s="93"/>
      <c r="AN32" s="93"/>
      <c r="AO32" s="93"/>
      <c r="AP32" s="93"/>
      <c r="AQ32" s="93"/>
      <c r="AR32" s="93"/>
      <c r="AS32" s="93"/>
      <c r="AT32" s="93"/>
      <c r="AU32" s="106"/>
      <c r="AV32" s="106"/>
      <c r="AW32" s="106"/>
      <c r="AX32" s="106"/>
      <c r="AY32" s="106"/>
      <c r="AZ32" s="106"/>
      <c r="BA32" s="475"/>
      <c r="BB32" s="475"/>
      <c r="BC32" s="475"/>
      <c r="BD32" s="530"/>
      <c r="BE32" s="530"/>
      <c r="BF32" s="475"/>
      <c r="BG32" s="475"/>
      <c r="BH32" s="243"/>
      <c r="BI32" s="475"/>
      <c r="BJ32" s="475"/>
      <c r="BK32" s="475"/>
      <c r="BL32" s="475"/>
      <c r="BM32" s="475"/>
      <c r="BN32" s="243"/>
      <c r="BO32" s="475"/>
      <c r="BP32" s="243"/>
      <c r="BQ32" s="232"/>
    </row>
    <row r="33" spans="1:69" s="98" customFormat="1" ht="9.75">
      <c r="A33" s="457">
        <v>9</v>
      </c>
      <c r="B33" s="552" t="s">
        <v>39</v>
      </c>
      <c r="C33" s="457">
        <v>3085.8</v>
      </c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539" t="s">
        <v>248</v>
      </c>
      <c r="AB33" s="539"/>
      <c r="AC33" s="103"/>
      <c r="AD33" s="103"/>
      <c r="AE33" s="103"/>
      <c r="AF33" s="103"/>
      <c r="AG33" s="539" t="s">
        <v>248</v>
      </c>
      <c r="AH33" s="539"/>
      <c r="AI33" s="225"/>
      <c r="AJ33" s="225"/>
      <c r="AK33" s="225"/>
      <c r="AL33" s="89"/>
      <c r="AM33" s="103"/>
      <c r="AN33" s="103"/>
      <c r="AO33" s="103"/>
      <c r="AP33" s="103"/>
      <c r="AQ33" s="103"/>
      <c r="AR33" s="103"/>
      <c r="AS33" s="103"/>
      <c r="AT33" s="103"/>
      <c r="AU33" s="134"/>
      <c r="AV33" s="134"/>
      <c r="AW33" s="134"/>
      <c r="AX33" s="134"/>
      <c r="AY33" s="134"/>
      <c r="AZ33" s="134"/>
      <c r="BA33" s="451" t="s">
        <v>201</v>
      </c>
      <c r="BB33" s="451" t="s">
        <v>283</v>
      </c>
      <c r="BC33" s="451"/>
      <c r="BD33" s="487"/>
      <c r="BE33" s="487"/>
      <c r="BF33" s="220"/>
      <c r="BG33" s="451"/>
      <c r="BH33" s="220"/>
      <c r="BI33" s="451" t="s">
        <v>418</v>
      </c>
      <c r="BJ33" s="451"/>
      <c r="BK33" s="451"/>
      <c r="BL33" s="451"/>
      <c r="BM33" s="451"/>
      <c r="BN33" s="220"/>
      <c r="BO33" s="451" t="s">
        <v>248</v>
      </c>
      <c r="BP33" s="220"/>
      <c r="BQ33" s="231"/>
    </row>
    <row r="34" spans="1:69" s="98" customFormat="1" ht="11.25" customHeight="1">
      <c r="A34" s="458"/>
      <c r="B34" s="552"/>
      <c r="C34" s="458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544"/>
      <c r="AB34" s="540"/>
      <c r="AC34" s="103"/>
      <c r="AD34" s="103"/>
      <c r="AE34" s="103"/>
      <c r="AF34" s="103"/>
      <c r="AG34" s="540"/>
      <c r="AH34" s="540"/>
      <c r="AI34" s="391"/>
      <c r="AJ34" s="391"/>
      <c r="AK34" s="391"/>
      <c r="AL34" s="89"/>
      <c r="AM34" s="103"/>
      <c r="AN34" s="103"/>
      <c r="AO34" s="103"/>
      <c r="AP34" s="103"/>
      <c r="AQ34" s="103"/>
      <c r="AR34" s="103"/>
      <c r="AS34" s="103"/>
      <c r="AT34" s="103"/>
      <c r="AU34" s="134"/>
      <c r="AV34" s="134"/>
      <c r="AW34" s="134"/>
      <c r="AX34" s="134"/>
      <c r="AY34" s="134"/>
      <c r="AZ34" s="134"/>
      <c r="BA34" s="453"/>
      <c r="BB34" s="453"/>
      <c r="BC34" s="471"/>
      <c r="BD34" s="488"/>
      <c r="BE34" s="488"/>
      <c r="BF34" s="224"/>
      <c r="BG34" s="471"/>
      <c r="BH34" s="233"/>
      <c r="BI34" s="471"/>
      <c r="BJ34" s="471"/>
      <c r="BK34" s="471"/>
      <c r="BL34" s="471"/>
      <c r="BM34" s="471"/>
      <c r="BN34" s="233"/>
      <c r="BO34" s="471"/>
      <c r="BP34" s="233"/>
      <c r="BQ34" s="231"/>
    </row>
    <row r="35" spans="1:69" ht="37.5" customHeight="1">
      <c r="A35" s="472">
        <v>10</v>
      </c>
      <c r="B35" s="537" t="s">
        <v>40</v>
      </c>
      <c r="C35" s="469">
        <v>1939.7</v>
      </c>
      <c r="D35" s="93"/>
      <c r="E35" s="93"/>
      <c r="F35" s="198"/>
      <c r="G35" s="198"/>
      <c r="H35" s="198"/>
      <c r="I35" s="198"/>
      <c r="J35" s="198"/>
      <c r="K35" s="198"/>
      <c r="L35" s="198"/>
      <c r="M35" s="198"/>
      <c r="N35" s="198"/>
      <c r="O35" s="198"/>
      <c r="P35" s="198"/>
      <c r="Q35" s="198"/>
      <c r="R35" s="198"/>
      <c r="S35" s="198"/>
      <c r="T35" s="93"/>
      <c r="U35" s="93"/>
      <c r="V35" s="198"/>
      <c r="W35" s="35"/>
      <c r="X35" s="93"/>
      <c r="Y35" s="198"/>
      <c r="Z35" s="198"/>
      <c r="AA35" s="541" t="s">
        <v>248</v>
      </c>
      <c r="AB35" s="198"/>
      <c r="AC35" s="93"/>
      <c r="AD35" s="93"/>
      <c r="AE35" s="93"/>
      <c r="AF35" s="93"/>
      <c r="AG35" s="541" t="s">
        <v>248</v>
      </c>
      <c r="AH35" s="93"/>
      <c r="AI35" s="93"/>
      <c r="AJ35" s="93"/>
      <c r="AK35" s="93"/>
      <c r="AL35" s="93"/>
      <c r="AM35" s="93"/>
      <c r="AN35" s="93"/>
      <c r="AO35" s="93" t="s">
        <v>206</v>
      </c>
      <c r="AP35" s="93">
        <v>2.3</v>
      </c>
      <c r="AQ35" s="93" t="s">
        <v>260</v>
      </c>
      <c r="AR35" s="93"/>
      <c r="AS35" s="93"/>
      <c r="AT35" s="93"/>
      <c r="AU35" s="106"/>
      <c r="AV35" s="106"/>
      <c r="AW35" s="106"/>
      <c r="AX35" s="106"/>
      <c r="AY35" s="106"/>
      <c r="AZ35" s="106"/>
      <c r="BA35" s="106"/>
      <c r="BB35" s="106"/>
      <c r="BC35" s="106"/>
      <c r="BD35" s="529" t="s">
        <v>248</v>
      </c>
      <c r="BE35" s="237"/>
      <c r="BF35" s="106"/>
      <c r="BG35" s="106"/>
      <c r="BH35" s="106"/>
      <c r="BI35" s="106"/>
      <c r="BJ35" s="106"/>
      <c r="BK35" s="237"/>
      <c r="BL35" s="106"/>
      <c r="BM35" s="106"/>
      <c r="BN35" s="106"/>
      <c r="BO35" s="106"/>
      <c r="BP35" s="106"/>
      <c r="BQ35" s="232"/>
    </row>
    <row r="36" spans="1:69" ht="37.5" customHeight="1">
      <c r="A36" s="478"/>
      <c r="B36" s="538"/>
      <c r="C36" s="478"/>
      <c r="D36" s="93"/>
      <c r="E36" s="93"/>
      <c r="F36" s="198"/>
      <c r="G36" s="198"/>
      <c r="H36" s="198"/>
      <c r="I36" s="198"/>
      <c r="J36" s="198"/>
      <c r="K36" s="198"/>
      <c r="L36" s="198"/>
      <c r="M36" s="198"/>
      <c r="N36" s="198"/>
      <c r="O36" s="198"/>
      <c r="P36" s="198"/>
      <c r="Q36" s="198"/>
      <c r="R36" s="198"/>
      <c r="S36" s="198"/>
      <c r="T36" s="93"/>
      <c r="U36" s="93"/>
      <c r="V36" s="198"/>
      <c r="W36" s="35"/>
      <c r="X36" s="93"/>
      <c r="Y36" s="198"/>
      <c r="Z36" s="198"/>
      <c r="AA36" s="543"/>
      <c r="AB36" s="198"/>
      <c r="AC36" s="93"/>
      <c r="AD36" s="93"/>
      <c r="AE36" s="93"/>
      <c r="AF36" s="93"/>
      <c r="AG36" s="543"/>
      <c r="AH36" s="93"/>
      <c r="AI36" s="93"/>
      <c r="AJ36" s="93"/>
      <c r="AK36" s="93"/>
      <c r="AL36" s="93"/>
      <c r="AM36" s="93"/>
      <c r="AN36" s="93"/>
      <c r="AO36" s="93"/>
      <c r="AP36" s="93"/>
      <c r="AQ36" s="93"/>
      <c r="AR36" s="93"/>
      <c r="AS36" s="93"/>
      <c r="AT36" s="93"/>
      <c r="AU36" s="106"/>
      <c r="AV36" s="106"/>
      <c r="AW36" s="106"/>
      <c r="AX36" s="106"/>
      <c r="AY36" s="106"/>
      <c r="AZ36" s="106"/>
      <c r="BA36" s="106"/>
      <c r="BB36" s="106"/>
      <c r="BC36" s="106"/>
      <c r="BD36" s="530"/>
      <c r="BE36" s="237"/>
      <c r="BF36" s="106"/>
      <c r="BG36" s="106"/>
      <c r="BH36" s="106"/>
      <c r="BI36" s="106"/>
      <c r="BJ36" s="106"/>
      <c r="BK36" s="237"/>
      <c r="BL36" s="106"/>
      <c r="BM36" s="106"/>
      <c r="BN36" s="106"/>
      <c r="BO36" s="106"/>
      <c r="BP36" s="106"/>
      <c r="BQ36" s="232"/>
    </row>
    <row r="37" spans="1:69" ht="9.75">
      <c r="A37" s="35">
        <v>10</v>
      </c>
      <c r="B37" s="51" t="s">
        <v>29</v>
      </c>
      <c r="C37" s="52">
        <f>SUM(C5:C35)</f>
        <v>36888.71</v>
      </c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93"/>
      <c r="AK37" s="93"/>
      <c r="AL37" s="93"/>
      <c r="AM37" s="93"/>
      <c r="AN37" s="93"/>
      <c r="AO37" s="93"/>
      <c r="AP37" s="93"/>
      <c r="AQ37" s="93"/>
      <c r="AR37" s="93"/>
      <c r="AS37" s="93"/>
      <c r="AT37" s="93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4"/>
      <c r="BQ37" s="53">
        <f>SUM(BQ8:BQ35)</f>
        <v>0</v>
      </c>
    </row>
    <row r="38" spans="1:69" ht="9.75">
      <c r="A38" s="55"/>
      <c r="B38" s="43"/>
      <c r="W38" s="1"/>
      <c r="AA38" s="43"/>
      <c r="AB38" s="43"/>
      <c r="AF38" s="1"/>
      <c r="AQ38" s="44"/>
      <c r="AR38" s="44"/>
      <c r="AS38" s="44"/>
      <c r="AT38" s="44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5"/>
    </row>
    <row r="39" spans="1:69" ht="9.75">
      <c r="A39" s="55"/>
      <c r="B39" s="43"/>
      <c r="W39" s="1"/>
      <c r="AA39" s="43"/>
      <c r="AB39" s="43"/>
      <c r="AF39" s="1"/>
      <c r="AQ39" s="44"/>
      <c r="AR39" s="44"/>
      <c r="AS39" s="44"/>
      <c r="AT39" s="44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3"/>
      <c r="BQ39" s="45"/>
    </row>
  </sheetData>
  <sheetProtection/>
  <autoFilter ref="A1:C4"/>
  <mergeCells count="197">
    <mergeCell ref="BO31:BO32"/>
    <mergeCell ref="BO33:BO34"/>
    <mergeCell ref="AI3:AK3"/>
    <mergeCell ref="BD35:BD36"/>
    <mergeCell ref="AG35:AG36"/>
    <mergeCell ref="BA15:BA18"/>
    <mergeCell ref="BB15:BB18"/>
    <mergeCell ref="BN27:BN30"/>
    <mergeCell ref="AY3:AZ3"/>
    <mergeCell ref="BI13:BI14"/>
    <mergeCell ref="AA35:AA36"/>
    <mergeCell ref="BI21:BI26"/>
    <mergeCell ref="BI19:BI20"/>
    <mergeCell ref="BI15:BI18"/>
    <mergeCell ref="BA31:BA32"/>
    <mergeCell ref="BB31:BB32"/>
    <mergeCell ref="BA33:BA34"/>
    <mergeCell ref="BB33:BB34"/>
    <mergeCell ref="BE33:BE34"/>
    <mergeCell ref="BD33:BD34"/>
    <mergeCell ref="S15:S18"/>
    <mergeCell ref="S27:S30"/>
    <mergeCell ref="BI9:BI12"/>
    <mergeCell ref="BE21:BE26"/>
    <mergeCell ref="BE27:BE30"/>
    <mergeCell ref="BE31:BE32"/>
    <mergeCell ref="BD19:BD20"/>
    <mergeCell ref="BD21:BD26"/>
    <mergeCell ref="BD27:BD30"/>
    <mergeCell ref="BD31:BD32"/>
    <mergeCell ref="BG21:BG26"/>
    <mergeCell ref="BF19:BF20"/>
    <mergeCell ref="BF15:BF18"/>
    <mergeCell ref="BF13:BF14"/>
    <mergeCell ref="BJ27:BJ30"/>
    <mergeCell ref="BJ9:BJ12"/>
    <mergeCell ref="BJ13:BJ14"/>
    <mergeCell ref="BG19:BG20"/>
    <mergeCell ref="BH15:BH18"/>
    <mergeCell ref="BH27:BH30"/>
    <mergeCell ref="BJ31:BJ32"/>
    <mergeCell ref="BJ33:BJ34"/>
    <mergeCell ref="BI27:BI30"/>
    <mergeCell ref="BI31:BI32"/>
    <mergeCell ref="BI33:BI34"/>
    <mergeCell ref="BJ15:BJ18"/>
    <mergeCell ref="BJ19:BJ20"/>
    <mergeCell ref="BC33:BC34"/>
    <mergeCell ref="AG27:AG30"/>
    <mergeCell ref="BC5:BC8"/>
    <mergeCell ref="AG19:AG20"/>
    <mergeCell ref="BE19:BE20"/>
    <mergeCell ref="BD13:BD14"/>
    <mergeCell ref="BE9:BE12"/>
    <mergeCell ref="BE5:BE8"/>
    <mergeCell ref="AG33:AG34"/>
    <mergeCell ref="BE15:BE18"/>
    <mergeCell ref="BG33:BG34"/>
    <mergeCell ref="BM31:BM32"/>
    <mergeCell ref="BM33:BM34"/>
    <mergeCell ref="AG31:AG32"/>
    <mergeCell ref="BC31:BC32"/>
    <mergeCell ref="BM21:BM26"/>
    <mergeCell ref="BM27:BM30"/>
    <mergeCell ref="BC21:BC26"/>
    <mergeCell ref="BJ21:BJ26"/>
    <mergeCell ref="BF31:BF32"/>
    <mergeCell ref="BM19:BM20"/>
    <mergeCell ref="BF5:BF8"/>
    <mergeCell ref="BF9:BF12"/>
    <mergeCell ref="BL5:BL8"/>
    <mergeCell ref="BL9:BL12"/>
    <mergeCell ref="BG15:BG18"/>
    <mergeCell ref="BG5:BG8"/>
    <mergeCell ref="BG9:BG12"/>
    <mergeCell ref="BG13:BG14"/>
    <mergeCell ref="BI5:BI8"/>
    <mergeCell ref="BM5:BM8"/>
    <mergeCell ref="BM9:BM12"/>
    <mergeCell ref="BM13:BM14"/>
    <mergeCell ref="BM15:BM18"/>
    <mergeCell ref="BD5:BD8"/>
    <mergeCell ref="BJ5:BJ8"/>
    <mergeCell ref="BD9:BD12"/>
    <mergeCell ref="BE13:BE14"/>
    <mergeCell ref="AR3:AS3"/>
    <mergeCell ref="BC19:BC20"/>
    <mergeCell ref="BC15:BC18"/>
    <mergeCell ref="AH13:AH14"/>
    <mergeCell ref="AH15:AH18"/>
    <mergeCell ref="AH19:AH20"/>
    <mergeCell ref="BA3:BB3"/>
    <mergeCell ref="AO3:AQ3"/>
    <mergeCell ref="AV3:AW3"/>
    <mergeCell ref="BC9:BC12"/>
    <mergeCell ref="K3:L3"/>
    <mergeCell ref="AL3:AN3"/>
    <mergeCell ref="AA13:AA14"/>
    <mergeCell ref="AT3:AU3"/>
    <mergeCell ref="AH5:AH8"/>
    <mergeCell ref="AE3:AF3"/>
    <mergeCell ref="AH9:AH12"/>
    <mergeCell ref="AB9:AB12"/>
    <mergeCell ref="AG3:AG4"/>
    <mergeCell ref="AG9:AG12"/>
    <mergeCell ref="B19:B20"/>
    <mergeCell ref="B21:B26"/>
    <mergeCell ref="C13:C14"/>
    <mergeCell ref="B15:B18"/>
    <mergeCell ref="C19:C20"/>
    <mergeCell ref="C21:C26"/>
    <mergeCell ref="A2:C2"/>
    <mergeCell ref="A9:A12"/>
    <mergeCell ref="D3:E3"/>
    <mergeCell ref="I3:J3"/>
    <mergeCell ref="A15:A18"/>
    <mergeCell ref="C9:C12"/>
    <mergeCell ref="B5:B8"/>
    <mergeCell ref="B13:B14"/>
    <mergeCell ref="B9:B12"/>
    <mergeCell ref="C5:C8"/>
    <mergeCell ref="A31:A32"/>
    <mergeCell ref="A27:A30"/>
    <mergeCell ref="B33:B34"/>
    <mergeCell ref="B31:B32"/>
    <mergeCell ref="C31:C32"/>
    <mergeCell ref="C27:C30"/>
    <mergeCell ref="B27:B30"/>
    <mergeCell ref="C33:C34"/>
    <mergeCell ref="A33:A34"/>
    <mergeCell ref="A21:A26"/>
    <mergeCell ref="Q3:R3"/>
    <mergeCell ref="G3:H3"/>
    <mergeCell ref="A19:A20"/>
    <mergeCell ref="A13:A14"/>
    <mergeCell ref="AC3:AD3"/>
    <mergeCell ref="AB5:AB8"/>
    <mergeCell ref="AB13:AB14"/>
    <mergeCell ref="A5:A8"/>
    <mergeCell ref="C15:C18"/>
    <mergeCell ref="O13:O14"/>
    <mergeCell ref="AA31:AA32"/>
    <mergeCell ref="AA21:AA26"/>
    <mergeCell ref="T3:U3"/>
    <mergeCell ref="AG5:AG8"/>
    <mergeCell ref="AG13:AG14"/>
    <mergeCell ref="W3:X3"/>
    <mergeCell ref="AA9:AA12"/>
    <mergeCell ref="AA5:AA8"/>
    <mergeCell ref="Y3:Z3"/>
    <mergeCell ref="AA33:AA34"/>
    <mergeCell ref="AA27:AA30"/>
    <mergeCell ref="AB27:AB30"/>
    <mergeCell ref="AB15:AB18"/>
    <mergeCell ref="AB19:AB20"/>
    <mergeCell ref="AB21:AB26"/>
    <mergeCell ref="AA15:AA18"/>
    <mergeCell ref="AA19:AA20"/>
    <mergeCell ref="BK3:BL3"/>
    <mergeCell ref="BK5:BK8"/>
    <mergeCell ref="BK9:BK12"/>
    <mergeCell ref="BK13:BK14"/>
    <mergeCell ref="BK15:BK18"/>
    <mergeCell ref="BK19:BK20"/>
    <mergeCell ref="BL13:BL14"/>
    <mergeCell ref="BL15:BL18"/>
    <mergeCell ref="BL19:BL20"/>
    <mergeCell ref="BL21:BL26"/>
    <mergeCell ref="BK21:BK26"/>
    <mergeCell ref="AH31:AH32"/>
    <mergeCell ref="BC27:BC30"/>
    <mergeCell ref="BL33:BL34"/>
    <mergeCell ref="AH33:AH34"/>
    <mergeCell ref="BF21:BF26"/>
    <mergeCell ref="BG27:BG30"/>
    <mergeCell ref="BG31:BG32"/>
    <mergeCell ref="AH27:AH30"/>
    <mergeCell ref="BP5:BP8"/>
    <mergeCell ref="V9:V12"/>
    <mergeCell ref="BK27:BK30"/>
    <mergeCell ref="BK31:BK32"/>
    <mergeCell ref="BK33:BK34"/>
    <mergeCell ref="AG21:AG26"/>
    <mergeCell ref="BC13:BC14"/>
    <mergeCell ref="AB31:AB32"/>
    <mergeCell ref="BL27:BL30"/>
    <mergeCell ref="BL31:BL32"/>
    <mergeCell ref="A35:A36"/>
    <mergeCell ref="B35:B36"/>
    <mergeCell ref="C35:C36"/>
    <mergeCell ref="BF27:BF30"/>
    <mergeCell ref="AB33:AB34"/>
    <mergeCell ref="V5:V8"/>
    <mergeCell ref="O5:O8"/>
    <mergeCell ref="AH21:AH26"/>
    <mergeCell ref="AG15:AG18"/>
    <mergeCell ref="BD15:BD18"/>
  </mergeCells>
  <printOptions/>
  <pageMargins left="0.3937007874015748" right="0.3937007874015748" top="0.3937007874015748" bottom="0.3937007874015748" header="0" footer="0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CL100"/>
  <sheetViews>
    <sheetView tabSelected="1" zoomScale="60" zoomScaleNormal="60" zoomScalePageLayoutView="0" workbookViewId="0" topLeftCell="A1">
      <pane xSplit="2" ySplit="3" topLeftCell="AZ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F18" sqref="CF18:CF21"/>
    </sheetView>
  </sheetViews>
  <sheetFormatPr defaultColWidth="9.140625" defaultRowHeight="12.75"/>
  <cols>
    <col min="1" max="1" width="2.8515625" style="166" bestFit="1" customWidth="1"/>
    <col min="2" max="2" width="15.00390625" style="167" customWidth="1"/>
    <col min="3" max="3" width="12.7109375" style="167" customWidth="1"/>
    <col min="4" max="4" width="7.421875" style="157" customWidth="1"/>
    <col min="5" max="5" width="6.8515625" style="157" customWidth="1"/>
    <col min="6" max="6" width="9.57421875" style="157" hidden="1" customWidth="1"/>
    <col min="7" max="7" width="12.7109375" style="157" hidden="1" customWidth="1"/>
    <col min="8" max="8" width="12.7109375" style="157" customWidth="1"/>
    <col min="9" max="9" width="9.7109375" style="157" hidden="1" customWidth="1"/>
    <col min="10" max="10" width="13.7109375" style="157" customWidth="1"/>
    <col min="11" max="11" width="9.421875" style="157" customWidth="1"/>
    <col min="12" max="14" width="7.8515625" style="157" customWidth="1"/>
    <col min="15" max="15" width="8.57421875" style="157" customWidth="1"/>
    <col min="16" max="16" width="8.57421875" style="166" customWidth="1"/>
    <col min="17" max="17" width="10.140625" style="166" hidden="1" customWidth="1"/>
    <col min="18" max="19" width="10.57421875" style="157" customWidth="1"/>
    <col min="20" max="20" width="10.00390625" style="157" hidden="1" customWidth="1"/>
    <col min="21" max="21" width="9.57421875" style="157" hidden="1" customWidth="1"/>
    <col min="22" max="22" width="9.57421875" style="157" customWidth="1"/>
    <col min="23" max="23" width="9.8515625" style="166" customWidth="1"/>
    <col min="24" max="24" width="7.28125" style="166" customWidth="1"/>
    <col min="25" max="25" width="6.8515625" style="157" hidden="1" customWidth="1"/>
    <col min="26" max="26" width="8.421875" style="157" hidden="1" customWidth="1"/>
    <col min="27" max="28" width="7.8515625" style="157" hidden="1" customWidth="1"/>
    <col min="29" max="34" width="9.8515625" style="157" customWidth="1"/>
    <col min="35" max="35" width="12.421875" style="157" customWidth="1"/>
    <col min="36" max="36" width="9.8515625" style="166" customWidth="1"/>
    <col min="37" max="37" width="11.57421875" style="166" customWidth="1"/>
    <col min="38" max="38" width="9.57421875" style="166" customWidth="1"/>
    <col min="39" max="40" width="9.8515625" style="166" hidden="1" customWidth="1"/>
    <col min="41" max="41" width="9.57421875" style="166" bestFit="1" customWidth="1"/>
    <col min="42" max="42" width="12.28125" style="157" hidden="1" customWidth="1"/>
    <col min="43" max="43" width="10.57421875" style="157" customWidth="1"/>
    <col min="44" max="44" width="9.00390625" style="157" customWidth="1"/>
    <col min="45" max="45" width="9.421875" style="157" hidden="1" customWidth="1"/>
    <col min="46" max="46" width="11.00390625" style="166" hidden="1" customWidth="1"/>
    <col min="47" max="47" width="9.00390625" style="166" hidden="1" customWidth="1"/>
    <col min="48" max="48" width="9.00390625" style="157" customWidth="1"/>
    <col min="49" max="49" width="7.421875" style="157" customWidth="1"/>
    <col min="50" max="50" width="8.140625" style="157" customWidth="1"/>
    <col min="51" max="51" width="11.7109375" style="157" customWidth="1"/>
    <col min="52" max="52" width="9.140625" style="157" customWidth="1"/>
    <col min="53" max="53" width="10.421875" style="166" customWidth="1"/>
    <col min="54" max="54" width="7.7109375" style="157" customWidth="1"/>
    <col min="55" max="58" width="6.00390625" style="157" customWidth="1"/>
    <col min="59" max="59" width="8.8515625" style="157" customWidth="1"/>
    <col min="60" max="60" width="8.421875" style="157" customWidth="1"/>
    <col min="61" max="62" width="9.00390625" style="157" customWidth="1"/>
    <col min="63" max="63" width="7.7109375" style="157" bestFit="1" customWidth="1"/>
    <col min="64" max="64" width="7.421875" style="157" bestFit="1" customWidth="1"/>
    <col min="65" max="65" width="11.28125" style="157" customWidth="1"/>
    <col min="66" max="66" width="15.140625" style="157" customWidth="1"/>
    <col min="67" max="67" width="10.00390625" style="157" hidden="1" customWidth="1"/>
    <col min="68" max="68" width="6.421875" style="157" hidden="1" customWidth="1"/>
    <col min="69" max="69" width="6.7109375" style="157" hidden="1" customWidth="1"/>
    <col min="70" max="70" width="15.140625" style="24" hidden="1" customWidth="1"/>
    <col min="71" max="72" width="11.8515625" style="24" customWidth="1"/>
    <col min="73" max="73" width="8.28125" style="24" customWidth="1"/>
    <col min="74" max="74" width="9.140625" style="24" customWidth="1"/>
    <col min="75" max="83" width="10.8515625" style="24" customWidth="1"/>
    <col min="84" max="84" width="15.28125" style="24" customWidth="1"/>
    <col min="85" max="16384" width="9.140625" style="24" customWidth="1"/>
  </cols>
  <sheetData>
    <row r="1" spans="1:69" ht="15" customHeight="1">
      <c r="A1" s="1"/>
      <c r="B1" s="42"/>
      <c r="C1" s="4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3"/>
      <c r="Q1" s="33"/>
      <c r="R1" s="2"/>
      <c r="S1" s="2"/>
      <c r="T1" s="2"/>
      <c r="U1" s="2"/>
      <c r="V1" s="2"/>
      <c r="W1" s="33"/>
      <c r="X1" s="33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33"/>
      <c r="AK1" s="33"/>
      <c r="AL1" s="33"/>
      <c r="AM1" s="33"/>
      <c r="AN1" s="33"/>
      <c r="AO1" s="33"/>
      <c r="AP1" s="2"/>
      <c r="AQ1" s="2"/>
      <c r="AR1" s="2"/>
      <c r="AS1" s="2"/>
      <c r="AT1" s="33"/>
      <c r="AU1" s="33"/>
      <c r="AV1" s="2"/>
      <c r="AW1" s="2"/>
      <c r="AX1" s="2"/>
      <c r="AY1" s="2"/>
      <c r="AZ1" s="2"/>
      <c r="BA1" s="33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</row>
    <row r="2" spans="1:84" s="45" customFormat="1" ht="67.5" customHeight="1">
      <c r="A2" s="46" t="s">
        <v>0</v>
      </c>
      <c r="B2" s="46" t="s">
        <v>1</v>
      </c>
      <c r="C2" s="73" t="s">
        <v>2</v>
      </c>
      <c r="D2" s="554" t="s">
        <v>137</v>
      </c>
      <c r="E2" s="548"/>
      <c r="F2" s="34" t="s">
        <v>182</v>
      </c>
      <c r="G2" s="46" t="s">
        <v>163</v>
      </c>
      <c r="H2" s="34" t="s">
        <v>241</v>
      </c>
      <c r="I2" s="46" t="s">
        <v>116</v>
      </c>
      <c r="J2" s="74" t="s">
        <v>250</v>
      </c>
      <c r="K2" s="554" t="s">
        <v>147</v>
      </c>
      <c r="L2" s="548"/>
      <c r="M2" s="436" t="s">
        <v>270</v>
      </c>
      <c r="N2" s="548"/>
      <c r="O2" s="554" t="s">
        <v>89</v>
      </c>
      <c r="P2" s="548"/>
      <c r="Q2" s="34" t="s">
        <v>171</v>
      </c>
      <c r="R2" s="485" t="s">
        <v>186</v>
      </c>
      <c r="S2" s="486"/>
      <c r="T2" s="554" t="s">
        <v>141</v>
      </c>
      <c r="U2" s="548"/>
      <c r="V2" s="75" t="s">
        <v>302</v>
      </c>
      <c r="W2" s="549" t="s">
        <v>58</v>
      </c>
      <c r="X2" s="549"/>
      <c r="Y2" s="491" t="s">
        <v>183</v>
      </c>
      <c r="Z2" s="549"/>
      <c r="AA2" s="549" t="s">
        <v>153</v>
      </c>
      <c r="AB2" s="549"/>
      <c r="AC2" s="46" t="s">
        <v>59</v>
      </c>
      <c r="AD2" s="34" t="s">
        <v>274</v>
      </c>
      <c r="AE2" s="436" t="s">
        <v>191</v>
      </c>
      <c r="AF2" s="548"/>
      <c r="AG2" s="436" t="s">
        <v>317</v>
      </c>
      <c r="AH2" s="548"/>
      <c r="AI2" s="436" t="s">
        <v>170</v>
      </c>
      <c r="AJ2" s="548"/>
      <c r="AK2" s="436" t="s">
        <v>142</v>
      </c>
      <c r="AL2" s="548"/>
      <c r="AM2" s="75" t="s">
        <v>185</v>
      </c>
      <c r="AN2" s="46" t="s">
        <v>123</v>
      </c>
      <c r="AO2" s="46" t="s">
        <v>60</v>
      </c>
      <c r="AP2" s="34" t="s">
        <v>176</v>
      </c>
      <c r="AQ2" s="549" t="s">
        <v>61</v>
      </c>
      <c r="AR2" s="549"/>
      <c r="AS2" s="34" t="s">
        <v>172</v>
      </c>
      <c r="AT2" s="34" t="s">
        <v>139</v>
      </c>
      <c r="AU2" s="75" t="s">
        <v>152</v>
      </c>
      <c r="AV2" s="549" t="s">
        <v>63</v>
      </c>
      <c r="AW2" s="549"/>
      <c r="AX2" s="549"/>
      <c r="AY2" s="549" t="s">
        <v>129</v>
      </c>
      <c r="AZ2" s="549"/>
      <c r="BA2" s="549"/>
      <c r="BB2" s="554" t="s">
        <v>138</v>
      </c>
      <c r="BC2" s="548"/>
      <c r="BD2" s="436" t="s">
        <v>221</v>
      </c>
      <c r="BE2" s="578"/>
      <c r="BF2" s="548"/>
      <c r="BG2" s="75" t="s">
        <v>379</v>
      </c>
      <c r="BH2" s="75" t="s">
        <v>370</v>
      </c>
      <c r="BI2" s="81" t="s">
        <v>190</v>
      </c>
      <c r="BJ2" s="81" t="s">
        <v>301</v>
      </c>
      <c r="BK2" s="549" t="s">
        <v>64</v>
      </c>
      <c r="BL2" s="549"/>
      <c r="BM2" s="554"/>
      <c r="BN2" s="74" t="s">
        <v>409</v>
      </c>
      <c r="BO2" s="554" t="s">
        <v>144</v>
      </c>
      <c r="BP2" s="578"/>
      <c r="BQ2" s="548"/>
      <c r="BR2" s="577" t="s">
        <v>151</v>
      </c>
      <c r="BS2" s="131" t="s">
        <v>164</v>
      </c>
      <c r="BT2" s="131" t="s">
        <v>228</v>
      </c>
      <c r="BU2" s="131" t="s">
        <v>420</v>
      </c>
      <c r="BV2" s="131" t="s">
        <v>415</v>
      </c>
      <c r="BW2" s="239" t="s">
        <v>411</v>
      </c>
      <c r="BX2" s="597" t="s">
        <v>281</v>
      </c>
      <c r="BY2" s="598"/>
      <c r="BZ2" s="239" t="s">
        <v>307</v>
      </c>
      <c r="CA2" s="239" t="s">
        <v>414</v>
      </c>
      <c r="CB2" s="361" t="s">
        <v>321</v>
      </c>
      <c r="CC2" s="361" t="s">
        <v>410</v>
      </c>
      <c r="CD2" s="131" t="s">
        <v>277</v>
      </c>
      <c r="CE2" s="361" t="s">
        <v>374</v>
      </c>
      <c r="CF2" s="312" t="s">
        <v>148</v>
      </c>
    </row>
    <row r="3" spans="1:84" s="150" customFormat="1" ht="20.25">
      <c r="A3" s="35"/>
      <c r="B3" s="38" t="s">
        <v>90</v>
      </c>
      <c r="C3" s="38"/>
      <c r="D3" s="34" t="s">
        <v>135</v>
      </c>
      <c r="E3" s="34" t="s">
        <v>88</v>
      </c>
      <c r="F3" s="34" t="s">
        <v>175</v>
      </c>
      <c r="G3" s="131" t="s">
        <v>122</v>
      </c>
      <c r="H3" s="131" t="s">
        <v>122</v>
      </c>
      <c r="I3" s="34" t="s">
        <v>91</v>
      </c>
      <c r="J3" s="34" t="s">
        <v>122</v>
      </c>
      <c r="K3" s="34" t="s">
        <v>128</v>
      </c>
      <c r="L3" s="34" t="s">
        <v>86</v>
      </c>
      <c r="M3" s="34" t="s">
        <v>295</v>
      </c>
      <c r="N3" s="34" t="s">
        <v>266</v>
      </c>
      <c r="O3" s="34" t="s">
        <v>132</v>
      </c>
      <c r="P3" s="34" t="s">
        <v>88</v>
      </c>
      <c r="Q3" s="34" t="s">
        <v>122</v>
      </c>
      <c r="R3" s="82" t="s">
        <v>187</v>
      </c>
      <c r="S3" s="82" t="s">
        <v>122</v>
      </c>
      <c r="T3" s="34" t="s">
        <v>84</v>
      </c>
      <c r="U3" s="34" t="s">
        <v>85</v>
      </c>
      <c r="V3" s="34" t="s">
        <v>122</v>
      </c>
      <c r="W3" s="34" t="s">
        <v>65</v>
      </c>
      <c r="X3" s="34" t="s">
        <v>66</v>
      </c>
      <c r="Y3" s="34" t="s">
        <v>86</v>
      </c>
      <c r="Z3" s="34" t="s">
        <v>155</v>
      </c>
      <c r="AA3" s="34" t="s">
        <v>154</v>
      </c>
      <c r="AB3" s="34" t="s">
        <v>92</v>
      </c>
      <c r="AC3" s="34" t="s">
        <v>122</v>
      </c>
      <c r="AD3" s="34" t="s">
        <v>122</v>
      </c>
      <c r="AE3" s="34" t="s">
        <v>187</v>
      </c>
      <c r="AF3" s="34" t="s">
        <v>122</v>
      </c>
      <c r="AG3" s="34" t="s">
        <v>187</v>
      </c>
      <c r="AH3" s="34" t="s">
        <v>122</v>
      </c>
      <c r="AI3" s="34" t="s">
        <v>91</v>
      </c>
      <c r="AJ3" s="34" t="s">
        <v>120</v>
      </c>
      <c r="AK3" s="34" t="s">
        <v>91</v>
      </c>
      <c r="AL3" s="34" t="s">
        <v>85</v>
      </c>
      <c r="AM3" s="34"/>
      <c r="AN3" s="34" t="s">
        <v>124</v>
      </c>
      <c r="AO3" s="34"/>
      <c r="AP3" s="34" t="s">
        <v>86</v>
      </c>
      <c r="AQ3" s="34" t="s">
        <v>67</v>
      </c>
      <c r="AR3" s="34" t="s">
        <v>68</v>
      </c>
      <c r="AS3" s="34"/>
      <c r="AT3" s="34" t="s">
        <v>84</v>
      </c>
      <c r="AU3" s="34" t="s">
        <v>135</v>
      </c>
      <c r="AV3" s="34" t="s">
        <v>133</v>
      </c>
      <c r="AW3" s="34" t="s">
        <v>69</v>
      </c>
      <c r="AX3" s="34" t="s">
        <v>70</v>
      </c>
      <c r="AY3" s="34" t="s">
        <v>69</v>
      </c>
      <c r="AZ3" s="34" t="s">
        <v>70</v>
      </c>
      <c r="BA3" s="34" t="s">
        <v>117</v>
      </c>
      <c r="BB3" s="34" t="s">
        <v>69</v>
      </c>
      <c r="BC3" s="34" t="s">
        <v>73</v>
      </c>
      <c r="BD3" s="34" t="s">
        <v>150</v>
      </c>
      <c r="BE3" s="34" t="s">
        <v>66</v>
      </c>
      <c r="BF3" s="34" t="s">
        <v>135</v>
      </c>
      <c r="BG3" s="34" t="s">
        <v>124</v>
      </c>
      <c r="BH3" s="34" t="s">
        <v>124</v>
      </c>
      <c r="BI3" s="34" t="s">
        <v>124</v>
      </c>
      <c r="BJ3" s="34" t="s">
        <v>124</v>
      </c>
      <c r="BK3" s="34" t="s">
        <v>69</v>
      </c>
      <c r="BL3" s="34" t="s">
        <v>70</v>
      </c>
      <c r="BM3" s="74" t="s">
        <v>117</v>
      </c>
      <c r="BN3" s="74"/>
      <c r="BO3" s="34" t="s">
        <v>145</v>
      </c>
      <c r="BP3" s="34" t="s">
        <v>73</v>
      </c>
      <c r="BQ3" s="34" t="s">
        <v>122</v>
      </c>
      <c r="BR3" s="515"/>
      <c r="BS3" s="131"/>
      <c r="BT3" s="131" t="s">
        <v>88</v>
      </c>
      <c r="BU3" s="411" t="s">
        <v>187</v>
      </c>
      <c r="BV3" s="411" t="s">
        <v>187</v>
      </c>
      <c r="BW3" s="73"/>
      <c r="BX3" s="74" t="s">
        <v>69</v>
      </c>
      <c r="BY3" s="74" t="s">
        <v>73</v>
      </c>
      <c r="BZ3" s="74"/>
      <c r="CA3" s="73"/>
      <c r="CB3" s="74" t="s">
        <v>122</v>
      </c>
      <c r="CC3" s="74"/>
      <c r="CD3" s="74"/>
      <c r="CE3" s="74"/>
      <c r="CF3" s="46" t="s">
        <v>73</v>
      </c>
    </row>
    <row r="4" spans="1:84" s="119" customFormat="1" ht="9.75">
      <c r="A4" s="457">
        <v>1</v>
      </c>
      <c r="B4" s="555" t="s">
        <v>93</v>
      </c>
      <c r="C4" s="457">
        <v>7540.9</v>
      </c>
      <c r="D4" s="88"/>
      <c r="E4" s="88"/>
      <c r="F4" s="88"/>
      <c r="G4" s="89"/>
      <c r="H4" s="89"/>
      <c r="I4" s="89"/>
      <c r="J4" s="89"/>
      <c r="K4" s="89" t="s">
        <v>333</v>
      </c>
      <c r="L4" s="89">
        <v>3</v>
      </c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>
        <v>3</v>
      </c>
      <c r="AH4" s="89" t="s">
        <v>313</v>
      </c>
      <c r="AI4" s="89"/>
      <c r="AJ4" s="89"/>
      <c r="AK4" s="89"/>
      <c r="AL4" s="89"/>
      <c r="AM4" s="457"/>
      <c r="AN4" s="89"/>
      <c r="AO4" s="457" t="s">
        <v>248</v>
      </c>
      <c r="AP4" s="457"/>
      <c r="AQ4" s="89" t="s">
        <v>195</v>
      </c>
      <c r="AR4" s="89">
        <v>1</v>
      </c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92"/>
      <c r="BH4" s="92"/>
      <c r="BI4" s="457"/>
      <c r="BJ4" s="92"/>
      <c r="BK4" s="89"/>
      <c r="BL4" s="89"/>
      <c r="BM4" s="130"/>
      <c r="BN4" s="457" t="s">
        <v>248</v>
      </c>
      <c r="BO4" s="130"/>
      <c r="BP4" s="130"/>
      <c r="BQ4" s="130"/>
      <c r="BR4" s="457"/>
      <c r="BS4" s="457" t="s">
        <v>248</v>
      </c>
      <c r="BT4" s="92"/>
      <c r="BU4" s="92"/>
      <c r="BV4" s="539"/>
      <c r="BW4" s="568"/>
      <c r="BX4" s="252"/>
      <c r="BY4" s="252"/>
      <c r="BZ4" s="252"/>
      <c r="CA4" s="252"/>
      <c r="CB4" s="252"/>
      <c r="CC4" s="252"/>
      <c r="CD4" s="539" t="s">
        <v>248</v>
      </c>
      <c r="CE4" s="225"/>
      <c r="CF4" s="539" t="s">
        <v>249</v>
      </c>
    </row>
    <row r="5" spans="1:84" s="119" customFormat="1" ht="15.75" customHeight="1">
      <c r="A5" s="458"/>
      <c r="B5" s="585"/>
      <c r="C5" s="458"/>
      <c r="D5" s="88"/>
      <c r="E5" s="88"/>
      <c r="F5" s="88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458"/>
      <c r="AN5" s="89"/>
      <c r="AO5" s="458"/>
      <c r="AP5" s="458"/>
      <c r="AQ5" s="89" t="s">
        <v>251</v>
      </c>
      <c r="AR5" s="89">
        <v>24</v>
      </c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110"/>
      <c r="BH5" s="110"/>
      <c r="BI5" s="458"/>
      <c r="BJ5" s="110"/>
      <c r="BK5" s="89"/>
      <c r="BL5" s="89"/>
      <c r="BM5" s="130"/>
      <c r="BN5" s="458"/>
      <c r="BO5" s="130"/>
      <c r="BP5" s="130"/>
      <c r="BQ5" s="130"/>
      <c r="BR5" s="458"/>
      <c r="BS5" s="458"/>
      <c r="BT5" s="110"/>
      <c r="BU5" s="110"/>
      <c r="BV5" s="544"/>
      <c r="BW5" s="569"/>
      <c r="BX5" s="253"/>
      <c r="BY5" s="253"/>
      <c r="BZ5" s="253"/>
      <c r="CA5" s="253"/>
      <c r="CB5" s="253"/>
      <c r="CC5" s="253"/>
      <c r="CD5" s="544"/>
      <c r="CE5" s="390"/>
      <c r="CF5" s="544"/>
    </row>
    <row r="6" spans="1:84" s="119" customFormat="1" ht="15.75" customHeight="1">
      <c r="A6" s="458"/>
      <c r="B6" s="585"/>
      <c r="C6" s="458"/>
      <c r="D6" s="88"/>
      <c r="E6" s="88"/>
      <c r="F6" s="88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458"/>
      <c r="AN6" s="89"/>
      <c r="AO6" s="458"/>
      <c r="AP6" s="458"/>
      <c r="AQ6" s="89" t="s">
        <v>229</v>
      </c>
      <c r="AR6" s="89">
        <v>5</v>
      </c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110"/>
      <c r="BH6" s="110"/>
      <c r="BI6" s="458"/>
      <c r="BJ6" s="110"/>
      <c r="BK6" s="89"/>
      <c r="BL6" s="89"/>
      <c r="BM6" s="130"/>
      <c r="BN6" s="458"/>
      <c r="BO6" s="130"/>
      <c r="BP6" s="130"/>
      <c r="BQ6" s="130"/>
      <c r="BR6" s="458"/>
      <c r="BS6" s="458"/>
      <c r="BT6" s="110"/>
      <c r="BU6" s="110"/>
      <c r="BV6" s="544"/>
      <c r="BW6" s="569"/>
      <c r="BX6" s="253"/>
      <c r="BY6" s="253"/>
      <c r="BZ6" s="253"/>
      <c r="CA6" s="253"/>
      <c r="CB6" s="253"/>
      <c r="CC6" s="253"/>
      <c r="CD6" s="544"/>
      <c r="CE6" s="390"/>
      <c r="CF6" s="544"/>
    </row>
    <row r="7" spans="1:84" s="119" customFormat="1" ht="15.75" customHeight="1">
      <c r="A7" s="458"/>
      <c r="B7" s="585"/>
      <c r="C7" s="458"/>
      <c r="D7" s="88"/>
      <c r="E7" s="88"/>
      <c r="F7" s="88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458"/>
      <c r="AN7" s="89"/>
      <c r="AO7" s="458"/>
      <c r="AP7" s="458"/>
      <c r="AQ7" s="89" t="s">
        <v>199</v>
      </c>
      <c r="AR7" s="89">
        <v>5</v>
      </c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110"/>
      <c r="BH7" s="110"/>
      <c r="BI7" s="458"/>
      <c r="BJ7" s="110"/>
      <c r="BK7" s="89"/>
      <c r="BL7" s="89"/>
      <c r="BM7" s="130"/>
      <c r="BN7" s="458"/>
      <c r="BO7" s="130"/>
      <c r="BP7" s="130"/>
      <c r="BQ7" s="130"/>
      <c r="BR7" s="458"/>
      <c r="BS7" s="458"/>
      <c r="BT7" s="110"/>
      <c r="BU7" s="110"/>
      <c r="BV7" s="544"/>
      <c r="BW7" s="569"/>
      <c r="BX7" s="253"/>
      <c r="BY7" s="253"/>
      <c r="BZ7" s="253"/>
      <c r="CA7" s="253"/>
      <c r="CB7" s="253"/>
      <c r="CC7" s="253"/>
      <c r="CD7" s="544"/>
      <c r="CE7" s="390"/>
      <c r="CF7" s="544"/>
    </row>
    <row r="8" spans="1:84" s="119" customFormat="1" ht="15.75" customHeight="1">
      <c r="A8" s="458"/>
      <c r="B8" s="585"/>
      <c r="C8" s="458"/>
      <c r="D8" s="88"/>
      <c r="E8" s="88"/>
      <c r="F8" s="88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458"/>
      <c r="AN8" s="89"/>
      <c r="AO8" s="458"/>
      <c r="AP8" s="458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110"/>
      <c r="BH8" s="110"/>
      <c r="BI8" s="458"/>
      <c r="BJ8" s="110"/>
      <c r="BK8" s="89"/>
      <c r="BL8" s="89"/>
      <c r="BM8" s="130"/>
      <c r="BN8" s="458"/>
      <c r="BO8" s="130"/>
      <c r="BP8" s="130"/>
      <c r="BQ8" s="130"/>
      <c r="BR8" s="458"/>
      <c r="BS8" s="458"/>
      <c r="BT8" s="110"/>
      <c r="BU8" s="110"/>
      <c r="BV8" s="544"/>
      <c r="BW8" s="569"/>
      <c r="BX8" s="253"/>
      <c r="BY8" s="253"/>
      <c r="BZ8" s="253"/>
      <c r="CA8" s="253"/>
      <c r="CB8" s="253"/>
      <c r="CC8" s="253"/>
      <c r="CD8" s="544"/>
      <c r="CE8" s="390"/>
      <c r="CF8" s="544"/>
    </row>
    <row r="9" spans="1:84" s="153" customFormat="1" ht="26.25" customHeight="1">
      <c r="A9" s="458"/>
      <c r="B9" s="585"/>
      <c r="C9" s="473"/>
      <c r="D9" s="89"/>
      <c r="E9" s="89"/>
      <c r="F9" s="89"/>
      <c r="G9" s="89"/>
      <c r="H9" s="89"/>
      <c r="I9" s="80"/>
      <c r="J9" s="80"/>
      <c r="K9" s="80"/>
      <c r="L9" s="80"/>
      <c r="M9" s="80"/>
      <c r="N9" s="80"/>
      <c r="O9" s="80"/>
      <c r="P9" s="80"/>
      <c r="Q9" s="80"/>
      <c r="R9" s="89"/>
      <c r="S9" s="89"/>
      <c r="T9" s="80"/>
      <c r="U9" s="80"/>
      <c r="V9" s="80"/>
      <c r="W9" s="80"/>
      <c r="X9" s="80"/>
      <c r="Y9" s="80"/>
      <c r="Z9" s="80"/>
      <c r="AA9" s="80"/>
      <c r="AB9" s="80"/>
      <c r="AC9" s="89"/>
      <c r="AD9" s="89"/>
      <c r="AE9" s="89"/>
      <c r="AF9" s="89"/>
      <c r="AG9" s="89"/>
      <c r="AH9" s="89"/>
      <c r="AI9" s="89"/>
      <c r="AJ9" s="89"/>
      <c r="AK9" s="61"/>
      <c r="AL9" s="61"/>
      <c r="AM9" s="473"/>
      <c r="AN9" s="152"/>
      <c r="AO9" s="586"/>
      <c r="AP9" s="473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101"/>
      <c r="BH9" s="101"/>
      <c r="BI9" s="473"/>
      <c r="BJ9" s="101"/>
      <c r="BK9" s="80"/>
      <c r="BL9" s="80"/>
      <c r="BM9" s="123"/>
      <c r="BN9" s="473"/>
      <c r="BO9" s="123"/>
      <c r="BP9" s="123"/>
      <c r="BQ9" s="123"/>
      <c r="BR9" s="473"/>
      <c r="BS9" s="473"/>
      <c r="BT9" s="101"/>
      <c r="BU9" s="101"/>
      <c r="BV9" s="540"/>
      <c r="BW9" s="570"/>
      <c r="BX9" s="254"/>
      <c r="BY9" s="254"/>
      <c r="BZ9" s="254"/>
      <c r="CA9" s="254"/>
      <c r="CB9" s="254"/>
      <c r="CC9" s="254"/>
      <c r="CD9" s="540"/>
      <c r="CE9" s="391"/>
      <c r="CF9" s="540"/>
    </row>
    <row r="10" spans="1:84" ht="9.75">
      <c r="A10" s="433">
        <v>2</v>
      </c>
      <c r="B10" s="443" t="s">
        <v>94</v>
      </c>
      <c r="C10" s="433">
        <v>4217.4</v>
      </c>
      <c r="D10" s="35" t="s">
        <v>213</v>
      </c>
      <c r="E10" s="10">
        <v>4.5</v>
      </c>
      <c r="F10" s="10"/>
      <c r="G10" s="35"/>
      <c r="H10" s="56"/>
      <c r="I10" s="469"/>
      <c r="J10" s="56"/>
      <c r="K10" s="35" t="s">
        <v>334</v>
      </c>
      <c r="L10" s="10">
        <v>33.8</v>
      </c>
      <c r="M10" s="10"/>
      <c r="N10" s="10"/>
      <c r="O10" s="35"/>
      <c r="P10" s="10"/>
      <c r="Q10" s="10"/>
      <c r="R10" s="10">
        <v>4</v>
      </c>
      <c r="S10" s="35" t="s">
        <v>242</v>
      </c>
      <c r="T10" s="10"/>
      <c r="U10" s="35"/>
      <c r="V10" s="35"/>
      <c r="W10" s="35" t="s">
        <v>222</v>
      </c>
      <c r="X10" s="10">
        <v>1</v>
      </c>
      <c r="Y10" s="10"/>
      <c r="Z10" s="10"/>
      <c r="AA10" s="10"/>
      <c r="AB10" s="10"/>
      <c r="AC10" s="469" t="s">
        <v>242</v>
      </c>
      <c r="AD10" s="56"/>
      <c r="AE10" s="10"/>
      <c r="AF10" s="10"/>
      <c r="AG10" s="10">
        <v>3</v>
      </c>
      <c r="AH10" s="35" t="s">
        <v>313</v>
      </c>
      <c r="AI10" s="10">
        <v>135</v>
      </c>
      <c r="AJ10" s="35" t="s">
        <v>242</v>
      </c>
      <c r="AK10" s="10"/>
      <c r="AL10" s="10"/>
      <c r="AM10" s="469"/>
      <c r="AN10" s="10"/>
      <c r="AO10" s="469" t="s">
        <v>248</v>
      </c>
      <c r="AP10" s="469"/>
      <c r="AQ10" s="10"/>
      <c r="AR10" s="10"/>
      <c r="AS10" s="10"/>
      <c r="AT10" s="10"/>
      <c r="AU10" s="10"/>
      <c r="AV10" s="10"/>
      <c r="AW10" s="10"/>
      <c r="AX10" s="10"/>
      <c r="AY10" s="35" t="s">
        <v>195</v>
      </c>
      <c r="AZ10" s="10">
        <v>2</v>
      </c>
      <c r="BA10" s="35" t="s">
        <v>196</v>
      </c>
      <c r="BB10" s="10"/>
      <c r="BC10" s="10"/>
      <c r="BD10" s="10"/>
      <c r="BE10" s="10"/>
      <c r="BF10" s="10"/>
      <c r="BG10" s="57"/>
      <c r="BH10" s="57"/>
      <c r="BI10" s="433"/>
      <c r="BJ10" s="57"/>
      <c r="BK10" s="10"/>
      <c r="BL10" s="10"/>
      <c r="BM10" s="128"/>
      <c r="BN10" s="469" t="s">
        <v>248</v>
      </c>
      <c r="BO10" s="128"/>
      <c r="BP10" s="128"/>
      <c r="BQ10" s="128"/>
      <c r="BR10" s="582"/>
      <c r="BS10" s="590" t="s">
        <v>248</v>
      </c>
      <c r="BT10" s="283"/>
      <c r="BU10" s="582">
        <v>1</v>
      </c>
      <c r="BV10" s="592">
        <v>1</v>
      </c>
      <c r="BW10" s="571"/>
      <c r="BX10" s="255"/>
      <c r="BY10" s="255"/>
      <c r="BZ10" s="255"/>
      <c r="CA10" s="255"/>
      <c r="CB10" s="255"/>
      <c r="CC10" s="255"/>
      <c r="CD10" s="255"/>
      <c r="CE10" s="255"/>
      <c r="CF10" s="571"/>
    </row>
    <row r="11" spans="1:84" ht="9.75">
      <c r="A11" s="434"/>
      <c r="B11" s="444"/>
      <c r="C11" s="434"/>
      <c r="D11" s="35"/>
      <c r="E11" s="10"/>
      <c r="F11" s="35"/>
      <c r="G11" s="35"/>
      <c r="H11" s="197"/>
      <c r="I11" s="434"/>
      <c r="J11" s="58"/>
      <c r="K11" s="35" t="s">
        <v>335</v>
      </c>
      <c r="L11" s="10">
        <v>61.4</v>
      </c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472"/>
      <c r="AD11" s="197"/>
      <c r="AE11" s="10"/>
      <c r="AF11" s="10"/>
      <c r="AG11" s="10"/>
      <c r="AH11" s="10"/>
      <c r="AI11" s="10"/>
      <c r="AJ11" s="10"/>
      <c r="AK11" s="10"/>
      <c r="AL11" s="10"/>
      <c r="AM11" s="434"/>
      <c r="AN11" s="10"/>
      <c r="AO11" s="434"/>
      <c r="AP11" s="434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58"/>
      <c r="BH11" s="58"/>
      <c r="BI11" s="434"/>
      <c r="BJ11" s="58"/>
      <c r="BK11" s="10"/>
      <c r="BL11" s="10"/>
      <c r="BM11" s="126"/>
      <c r="BN11" s="434"/>
      <c r="BO11" s="126"/>
      <c r="BP11" s="126"/>
      <c r="BQ11" s="126"/>
      <c r="BR11" s="583"/>
      <c r="BS11" s="583"/>
      <c r="BT11" s="284"/>
      <c r="BU11" s="583"/>
      <c r="BV11" s="593"/>
      <c r="BW11" s="572"/>
      <c r="BX11" s="256"/>
      <c r="BY11" s="256"/>
      <c r="BZ11" s="256"/>
      <c r="CA11" s="256"/>
      <c r="CB11" s="256"/>
      <c r="CC11" s="256"/>
      <c r="CD11" s="256"/>
      <c r="CE11" s="256"/>
      <c r="CF11" s="572"/>
    </row>
    <row r="12" spans="1:84" ht="35.25" customHeight="1">
      <c r="A12" s="434"/>
      <c r="B12" s="444"/>
      <c r="C12" s="434"/>
      <c r="D12" s="10"/>
      <c r="E12" s="10"/>
      <c r="F12" s="10"/>
      <c r="G12" s="35"/>
      <c r="H12" s="197"/>
      <c r="I12" s="434"/>
      <c r="J12" s="58"/>
      <c r="K12" s="35" t="s">
        <v>343</v>
      </c>
      <c r="L12" s="10">
        <v>33.1</v>
      </c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472"/>
      <c r="AD12" s="197"/>
      <c r="AE12" s="10"/>
      <c r="AF12" s="10"/>
      <c r="AG12" s="10"/>
      <c r="AH12" s="10"/>
      <c r="AI12" s="35"/>
      <c r="AJ12" s="35"/>
      <c r="AK12" s="10"/>
      <c r="AL12" s="10"/>
      <c r="AM12" s="434"/>
      <c r="AN12" s="10"/>
      <c r="AO12" s="434"/>
      <c r="AP12" s="434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58"/>
      <c r="BH12" s="58"/>
      <c r="BI12" s="434"/>
      <c r="BJ12" s="58"/>
      <c r="BK12" s="10"/>
      <c r="BL12" s="10"/>
      <c r="BM12" s="126"/>
      <c r="BN12" s="434"/>
      <c r="BO12" s="126"/>
      <c r="BP12" s="126"/>
      <c r="BQ12" s="126"/>
      <c r="BR12" s="583"/>
      <c r="BS12" s="583"/>
      <c r="BT12" s="284"/>
      <c r="BU12" s="583"/>
      <c r="BV12" s="593"/>
      <c r="BW12" s="572"/>
      <c r="BX12" s="256"/>
      <c r="BY12" s="256"/>
      <c r="BZ12" s="256"/>
      <c r="CA12" s="256"/>
      <c r="CB12" s="256"/>
      <c r="CC12" s="256"/>
      <c r="CD12" s="256"/>
      <c r="CE12" s="256"/>
      <c r="CF12" s="572"/>
    </row>
    <row r="13" spans="1:84" ht="39.75" customHeight="1">
      <c r="A13" s="434"/>
      <c r="B13" s="444"/>
      <c r="C13" s="435"/>
      <c r="D13" s="10"/>
      <c r="E13" s="10"/>
      <c r="F13" s="10"/>
      <c r="G13" s="35"/>
      <c r="H13" s="76"/>
      <c r="I13" s="435"/>
      <c r="J13" s="13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35"/>
      <c r="V13" s="35"/>
      <c r="W13" s="35"/>
      <c r="X13" s="10"/>
      <c r="Y13" s="10"/>
      <c r="Z13" s="10"/>
      <c r="AA13" s="10"/>
      <c r="AB13" s="10"/>
      <c r="AC13" s="478"/>
      <c r="AD13" s="76"/>
      <c r="AE13" s="10"/>
      <c r="AF13" s="10"/>
      <c r="AG13" s="10"/>
      <c r="AH13" s="10"/>
      <c r="AI13" s="35"/>
      <c r="AJ13" s="35"/>
      <c r="AK13" s="10"/>
      <c r="AL13" s="10"/>
      <c r="AM13" s="435"/>
      <c r="AN13" s="10"/>
      <c r="AO13" s="434"/>
      <c r="AP13" s="435"/>
      <c r="AQ13" s="10"/>
      <c r="AR13" s="10"/>
      <c r="AS13" s="10"/>
      <c r="AT13" s="10"/>
      <c r="AU13" s="35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3"/>
      <c r="BH13" s="13"/>
      <c r="BI13" s="435"/>
      <c r="BJ13" s="13"/>
      <c r="BK13" s="10"/>
      <c r="BL13" s="10"/>
      <c r="BM13" s="126"/>
      <c r="BN13" s="435"/>
      <c r="BO13" s="126"/>
      <c r="BP13" s="126"/>
      <c r="BQ13" s="126"/>
      <c r="BR13" s="583"/>
      <c r="BS13" s="591"/>
      <c r="BT13" s="285"/>
      <c r="BU13" s="591"/>
      <c r="BV13" s="594"/>
      <c r="BW13" s="573"/>
      <c r="BX13" s="257"/>
      <c r="BY13" s="257"/>
      <c r="BZ13" s="257"/>
      <c r="CA13" s="257"/>
      <c r="CB13" s="257"/>
      <c r="CC13" s="257"/>
      <c r="CD13" s="257"/>
      <c r="CE13" s="257"/>
      <c r="CF13" s="573"/>
    </row>
    <row r="14" spans="1:84" s="116" customFormat="1" ht="23.25" customHeight="1">
      <c r="A14" s="456">
        <v>3</v>
      </c>
      <c r="B14" s="587" t="s">
        <v>95</v>
      </c>
      <c r="C14" s="428">
        <v>4259.2</v>
      </c>
      <c r="D14" s="61"/>
      <c r="E14" s="61"/>
      <c r="F14" s="61"/>
      <c r="G14" s="89"/>
      <c r="H14" s="92"/>
      <c r="I14" s="428"/>
      <c r="J14" s="71"/>
      <c r="K14" s="89" t="s">
        <v>390</v>
      </c>
      <c r="L14" s="61">
        <v>33.3</v>
      </c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457" t="s">
        <v>242</v>
      </c>
      <c r="AD14" s="300"/>
      <c r="AE14" s="264"/>
      <c r="AF14" s="264"/>
      <c r="AG14" s="364"/>
      <c r="AH14" s="364"/>
      <c r="AI14" s="61">
        <v>160.5</v>
      </c>
      <c r="AJ14" s="89" t="s">
        <v>271</v>
      </c>
      <c r="AK14" s="61"/>
      <c r="AL14" s="61"/>
      <c r="AM14" s="457"/>
      <c r="AN14" s="61"/>
      <c r="AO14" s="596" t="s">
        <v>248</v>
      </c>
      <c r="AP14" s="528"/>
      <c r="AQ14" s="61"/>
      <c r="AR14" s="61"/>
      <c r="AS14" s="61"/>
      <c r="AT14" s="187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71"/>
      <c r="BH14" s="71"/>
      <c r="BI14" s="457"/>
      <c r="BJ14" s="92"/>
      <c r="BK14" s="61"/>
      <c r="BL14" s="61"/>
      <c r="BM14" s="61"/>
      <c r="BN14" s="457" t="s">
        <v>248</v>
      </c>
      <c r="BO14" s="61"/>
      <c r="BP14" s="61"/>
      <c r="BQ14" s="61"/>
      <c r="BR14" s="428"/>
      <c r="BS14" s="457" t="s">
        <v>248</v>
      </c>
      <c r="BT14" s="71"/>
      <c r="BU14" s="428">
        <v>4</v>
      </c>
      <c r="BV14" s="574">
        <v>1</v>
      </c>
      <c r="BW14" s="561"/>
      <c r="BX14" s="305"/>
      <c r="BY14" s="305"/>
      <c r="BZ14" s="317"/>
      <c r="CA14" s="246"/>
      <c r="CB14" s="366"/>
      <c r="CC14" s="394"/>
      <c r="CD14" s="305"/>
      <c r="CE14" s="394"/>
      <c r="CF14" s="561"/>
    </row>
    <row r="15" spans="1:84" s="116" customFormat="1" ht="22.5" customHeight="1">
      <c r="A15" s="456"/>
      <c r="B15" s="587"/>
      <c r="C15" s="432"/>
      <c r="D15" s="61"/>
      <c r="E15" s="61"/>
      <c r="F15" s="61"/>
      <c r="G15" s="89"/>
      <c r="H15" s="110"/>
      <c r="I15" s="432"/>
      <c r="J15" s="288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458"/>
      <c r="AD15" s="321"/>
      <c r="AE15" s="264"/>
      <c r="AF15" s="264"/>
      <c r="AG15" s="364"/>
      <c r="AH15" s="364"/>
      <c r="AI15" s="61"/>
      <c r="AJ15" s="61"/>
      <c r="AK15" s="61"/>
      <c r="AL15" s="61"/>
      <c r="AM15" s="432"/>
      <c r="AN15" s="61"/>
      <c r="AO15" s="456"/>
      <c r="AP15" s="447"/>
      <c r="AQ15" s="61"/>
      <c r="AR15" s="61"/>
      <c r="AS15" s="61"/>
      <c r="AT15" s="187"/>
      <c r="AU15" s="61"/>
      <c r="AV15" s="61"/>
      <c r="AW15" s="61"/>
      <c r="AX15" s="61"/>
      <c r="AY15" s="61"/>
      <c r="AZ15" s="61"/>
      <c r="BA15" s="61"/>
      <c r="BB15" s="62"/>
      <c r="BC15" s="62"/>
      <c r="BD15" s="62"/>
      <c r="BE15" s="62"/>
      <c r="BF15" s="62"/>
      <c r="BG15" s="384"/>
      <c r="BH15" s="384"/>
      <c r="BI15" s="432"/>
      <c r="BJ15" s="296"/>
      <c r="BK15" s="61"/>
      <c r="BL15" s="61"/>
      <c r="BM15" s="61"/>
      <c r="BN15" s="432"/>
      <c r="BO15" s="61"/>
      <c r="BP15" s="61"/>
      <c r="BQ15" s="61"/>
      <c r="BR15" s="432"/>
      <c r="BS15" s="432"/>
      <c r="BT15" s="272"/>
      <c r="BU15" s="447"/>
      <c r="BV15" s="575"/>
      <c r="BW15" s="562"/>
      <c r="BX15" s="307"/>
      <c r="BY15" s="307"/>
      <c r="BZ15" s="318"/>
      <c r="CA15" s="247"/>
      <c r="CB15" s="368"/>
      <c r="CC15" s="396"/>
      <c r="CD15" s="307"/>
      <c r="CE15" s="396"/>
      <c r="CF15" s="562"/>
    </row>
    <row r="16" spans="1:84" s="116" customFormat="1" ht="21.75" customHeight="1">
      <c r="A16" s="456"/>
      <c r="B16" s="587"/>
      <c r="C16" s="432"/>
      <c r="D16" s="61"/>
      <c r="E16" s="61"/>
      <c r="F16" s="61"/>
      <c r="G16" s="89"/>
      <c r="H16" s="110"/>
      <c r="I16" s="432"/>
      <c r="J16" s="288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458"/>
      <c r="AD16" s="321"/>
      <c r="AE16" s="264"/>
      <c r="AF16" s="264"/>
      <c r="AG16" s="364"/>
      <c r="AH16" s="364"/>
      <c r="AI16" s="61"/>
      <c r="AJ16" s="61"/>
      <c r="AK16" s="89"/>
      <c r="AL16" s="89"/>
      <c r="AM16" s="432"/>
      <c r="AN16" s="61"/>
      <c r="AO16" s="456"/>
      <c r="AP16" s="447"/>
      <c r="AQ16" s="61"/>
      <c r="AR16" s="61"/>
      <c r="AS16" s="61"/>
      <c r="AT16" s="187"/>
      <c r="AU16" s="61"/>
      <c r="AV16" s="61"/>
      <c r="AW16" s="61"/>
      <c r="AX16" s="61"/>
      <c r="AY16" s="61"/>
      <c r="AZ16" s="61"/>
      <c r="BA16" s="61"/>
      <c r="BB16" s="62"/>
      <c r="BC16" s="62"/>
      <c r="BD16" s="62"/>
      <c r="BE16" s="62"/>
      <c r="BF16" s="62"/>
      <c r="BG16" s="384"/>
      <c r="BH16" s="384"/>
      <c r="BI16" s="432"/>
      <c r="BJ16" s="296"/>
      <c r="BK16" s="61"/>
      <c r="BL16" s="61"/>
      <c r="BM16" s="108"/>
      <c r="BN16" s="432"/>
      <c r="BO16" s="108"/>
      <c r="BP16" s="108"/>
      <c r="BQ16" s="108"/>
      <c r="BR16" s="432"/>
      <c r="BS16" s="432"/>
      <c r="BT16" s="272"/>
      <c r="BU16" s="447"/>
      <c r="BV16" s="575"/>
      <c r="BW16" s="562"/>
      <c r="BX16" s="307"/>
      <c r="BY16" s="307"/>
      <c r="BZ16" s="318"/>
      <c r="CA16" s="247"/>
      <c r="CB16" s="368"/>
      <c r="CC16" s="396"/>
      <c r="CD16" s="307"/>
      <c r="CE16" s="396"/>
      <c r="CF16" s="562"/>
    </row>
    <row r="17" spans="1:84" s="116" customFormat="1" ht="27" customHeight="1">
      <c r="A17" s="456"/>
      <c r="B17" s="587"/>
      <c r="C17" s="429"/>
      <c r="D17" s="61"/>
      <c r="E17" s="61"/>
      <c r="F17" s="61"/>
      <c r="G17" s="89"/>
      <c r="H17" s="101"/>
      <c r="I17" s="429"/>
      <c r="J17" s="287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473"/>
      <c r="AD17" s="322"/>
      <c r="AE17" s="264"/>
      <c r="AF17" s="264"/>
      <c r="AG17" s="364"/>
      <c r="AH17" s="364"/>
      <c r="AI17" s="89"/>
      <c r="AJ17" s="89"/>
      <c r="AK17" s="61"/>
      <c r="AL17" s="61"/>
      <c r="AM17" s="429"/>
      <c r="AN17" s="61"/>
      <c r="AO17" s="456"/>
      <c r="AP17" s="519"/>
      <c r="AQ17" s="61"/>
      <c r="AR17" s="61"/>
      <c r="AS17" s="61"/>
      <c r="AT17" s="187"/>
      <c r="AU17" s="89"/>
      <c r="AV17" s="61"/>
      <c r="AW17" s="61"/>
      <c r="AX17" s="61"/>
      <c r="AY17" s="61"/>
      <c r="AZ17" s="61"/>
      <c r="BA17" s="61"/>
      <c r="BB17" s="62"/>
      <c r="BC17" s="62"/>
      <c r="BD17" s="62"/>
      <c r="BE17" s="62"/>
      <c r="BF17" s="62"/>
      <c r="BG17" s="383"/>
      <c r="BH17" s="383"/>
      <c r="BI17" s="429"/>
      <c r="BJ17" s="297"/>
      <c r="BK17" s="61"/>
      <c r="BL17" s="61"/>
      <c r="BM17" s="108"/>
      <c r="BN17" s="429"/>
      <c r="BO17" s="108"/>
      <c r="BP17" s="108"/>
      <c r="BQ17" s="108"/>
      <c r="BR17" s="429"/>
      <c r="BS17" s="429"/>
      <c r="BT17" s="72"/>
      <c r="BU17" s="519"/>
      <c r="BV17" s="576"/>
      <c r="BW17" s="563"/>
      <c r="BX17" s="306"/>
      <c r="BY17" s="306"/>
      <c r="BZ17" s="319"/>
      <c r="CA17" s="248"/>
      <c r="CB17" s="367"/>
      <c r="CC17" s="395"/>
      <c r="CD17" s="306"/>
      <c r="CE17" s="395"/>
      <c r="CF17" s="563"/>
    </row>
    <row r="18" spans="1:84" s="157" customFormat="1" ht="26.25" customHeight="1">
      <c r="A18" s="433">
        <v>4</v>
      </c>
      <c r="B18" s="443" t="s">
        <v>96</v>
      </c>
      <c r="C18" s="433">
        <v>4229.2</v>
      </c>
      <c r="D18" s="10"/>
      <c r="E18" s="10"/>
      <c r="F18" s="10"/>
      <c r="G18" s="10"/>
      <c r="H18" s="57"/>
      <c r="I18" s="433"/>
      <c r="J18" s="469" t="s">
        <v>242</v>
      </c>
      <c r="K18" s="35" t="s">
        <v>268</v>
      </c>
      <c r="L18" s="10">
        <v>8</v>
      </c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>
        <v>60</v>
      </c>
      <c r="AF18" s="35" t="s">
        <v>242</v>
      </c>
      <c r="AG18" s="10"/>
      <c r="AH18" s="10"/>
      <c r="AI18" s="10"/>
      <c r="AJ18" s="10"/>
      <c r="AK18" s="10"/>
      <c r="AL18" s="10"/>
      <c r="AM18" s="469"/>
      <c r="AN18" s="10"/>
      <c r="AO18" s="469" t="s">
        <v>248</v>
      </c>
      <c r="AP18" s="433"/>
      <c r="AQ18" s="35"/>
      <c r="AR18" s="35"/>
      <c r="AS18" s="10"/>
      <c r="AT18" s="10"/>
      <c r="AU18" s="10"/>
      <c r="AV18" s="10"/>
      <c r="AW18" s="10"/>
      <c r="AX18" s="10"/>
      <c r="AY18" s="35" t="s">
        <v>199</v>
      </c>
      <c r="AZ18" s="10">
        <v>12</v>
      </c>
      <c r="BA18" s="35" t="s">
        <v>223</v>
      </c>
      <c r="BB18" s="35" t="s">
        <v>229</v>
      </c>
      <c r="BC18" s="10">
        <v>4</v>
      </c>
      <c r="BD18" s="35" t="s">
        <v>222</v>
      </c>
      <c r="BE18" s="10">
        <v>1</v>
      </c>
      <c r="BF18" s="35" t="s">
        <v>196</v>
      </c>
      <c r="BG18" s="56"/>
      <c r="BH18" s="56"/>
      <c r="BI18" s="469">
        <v>1</v>
      </c>
      <c r="BJ18" s="56"/>
      <c r="BK18" s="35" t="s">
        <v>206</v>
      </c>
      <c r="BL18" s="10">
        <v>6</v>
      </c>
      <c r="BM18" s="125" t="s">
        <v>259</v>
      </c>
      <c r="BN18" s="469" t="s">
        <v>248</v>
      </c>
      <c r="BO18" s="128"/>
      <c r="BP18" s="128"/>
      <c r="BQ18" s="128"/>
      <c r="BR18" s="433"/>
      <c r="BS18" s="469" t="s">
        <v>248</v>
      </c>
      <c r="BT18" s="57"/>
      <c r="BU18" s="433">
        <v>1</v>
      </c>
      <c r="BV18" s="592">
        <v>1</v>
      </c>
      <c r="BW18" s="541"/>
      <c r="BX18" s="198"/>
      <c r="BY18" s="198"/>
      <c r="BZ18" s="198"/>
      <c r="CA18" s="198"/>
      <c r="CB18" s="198"/>
      <c r="CC18" s="198"/>
      <c r="CD18" s="198"/>
      <c r="CE18" s="198"/>
      <c r="CF18" s="565"/>
    </row>
    <row r="19" spans="1:84" s="157" customFormat="1" ht="12.75" customHeight="1">
      <c r="A19" s="434"/>
      <c r="B19" s="444"/>
      <c r="C19" s="434"/>
      <c r="D19" s="10"/>
      <c r="E19" s="10"/>
      <c r="F19" s="10"/>
      <c r="G19" s="10"/>
      <c r="H19" s="58"/>
      <c r="I19" s="434"/>
      <c r="J19" s="434"/>
      <c r="K19" s="35" t="s">
        <v>260</v>
      </c>
      <c r="L19" s="10">
        <v>50.9</v>
      </c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58"/>
      <c r="AD19" s="158"/>
      <c r="AE19" s="158"/>
      <c r="AF19" s="158"/>
      <c r="AG19" s="158"/>
      <c r="AH19" s="158"/>
      <c r="AI19" s="10"/>
      <c r="AJ19" s="10"/>
      <c r="AK19" s="10"/>
      <c r="AL19" s="10"/>
      <c r="AM19" s="434"/>
      <c r="AN19" s="10"/>
      <c r="AO19" s="434"/>
      <c r="AP19" s="434"/>
      <c r="AQ19" s="10"/>
      <c r="AR19" s="10"/>
      <c r="AS19" s="10"/>
      <c r="AT19" s="10"/>
      <c r="AU19" s="10"/>
      <c r="AV19" s="10"/>
      <c r="AW19" s="10"/>
      <c r="AX19" s="10"/>
      <c r="AY19" s="35" t="s">
        <v>199</v>
      </c>
      <c r="AZ19" s="10">
        <v>20</v>
      </c>
      <c r="BA19" s="76" t="s">
        <v>237</v>
      </c>
      <c r="BB19" s="13"/>
      <c r="BC19" s="13"/>
      <c r="BD19" s="10"/>
      <c r="BE19" s="10"/>
      <c r="BF19" s="10"/>
      <c r="BG19" s="58"/>
      <c r="BH19" s="58"/>
      <c r="BI19" s="434"/>
      <c r="BJ19" s="58"/>
      <c r="BK19" s="10"/>
      <c r="BL19" s="10"/>
      <c r="BM19" s="128"/>
      <c r="BN19" s="434"/>
      <c r="BO19" s="128"/>
      <c r="BP19" s="128"/>
      <c r="BQ19" s="128"/>
      <c r="BR19" s="434"/>
      <c r="BS19" s="434"/>
      <c r="BT19" s="58"/>
      <c r="BU19" s="434"/>
      <c r="BV19" s="593"/>
      <c r="BW19" s="546"/>
      <c r="BX19" s="245"/>
      <c r="BY19" s="245"/>
      <c r="BZ19" s="245"/>
      <c r="CA19" s="245"/>
      <c r="CB19" s="245"/>
      <c r="CC19" s="245"/>
      <c r="CD19" s="245"/>
      <c r="CE19" s="245"/>
      <c r="CF19" s="566"/>
    </row>
    <row r="20" spans="1:84" s="157" customFormat="1" ht="36.75" customHeight="1">
      <c r="A20" s="434"/>
      <c r="B20" s="444"/>
      <c r="C20" s="434"/>
      <c r="D20" s="10"/>
      <c r="E20" s="10"/>
      <c r="F20" s="35"/>
      <c r="G20" s="35"/>
      <c r="H20" s="197"/>
      <c r="I20" s="434"/>
      <c r="J20" s="434"/>
      <c r="K20" s="35" t="s">
        <v>391</v>
      </c>
      <c r="L20" s="10">
        <v>44.1</v>
      </c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35"/>
      <c r="AJ20" s="35"/>
      <c r="AK20" s="35"/>
      <c r="AL20" s="35"/>
      <c r="AM20" s="434"/>
      <c r="AN20" s="10"/>
      <c r="AO20" s="434"/>
      <c r="AP20" s="434"/>
      <c r="AQ20" s="10"/>
      <c r="AR20" s="10"/>
      <c r="AS20" s="10"/>
      <c r="AT20" s="10"/>
      <c r="AU20" s="10"/>
      <c r="AV20" s="10"/>
      <c r="AW20" s="10"/>
      <c r="AX20" s="10"/>
      <c r="AY20" s="35" t="s">
        <v>201</v>
      </c>
      <c r="AZ20" s="10">
        <v>2</v>
      </c>
      <c r="BA20" s="35" t="s">
        <v>237</v>
      </c>
      <c r="BB20" s="10"/>
      <c r="BC20" s="10"/>
      <c r="BD20" s="10"/>
      <c r="BE20" s="10"/>
      <c r="BF20" s="10"/>
      <c r="BG20" s="58"/>
      <c r="BH20" s="58"/>
      <c r="BI20" s="434"/>
      <c r="BJ20" s="58"/>
      <c r="BK20" s="35"/>
      <c r="BL20" s="35"/>
      <c r="BM20" s="125"/>
      <c r="BN20" s="434"/>
      <c r="BO20" s="128"/>
      <c r="BP20" s="128"/>
      <c r="BQ20" s="128"/>
      <c r="BR20" s="434"/>
      <c r="BS20" s="434"/>
      <c r="BT20" s="58"/>
      <c r="BU20" s="434"/>
      <c r="BV20" s="593"/>
      <c r="BW20" s="546"/>
      <c r="BX20" s="245"/>
      <c r="BY20" s="245"/>
      <c r="BZ20" s="245"/>
      <c r="CA20" s="245"/>
      <c r="CB20" s="245"/>
      <c r="CC20" s="245"/>
      <c r="CD20" s="245"/>
      <c r="CE20" s="245"/>
      <c r="CF20" s="566"/>
    </row>
    <row r="21" spans="1:84" s="157" customFormat="1" ht="12.75" customHeight="1">
      <c r="A21" s="434"/>
      <c r="B21" s="444"/>
      <c r="C21" s="435"/>
      <c r="D21" s="10"/>
      <c r="E21" s="10"/>
      <c r="F21" s="10"/>
      <c r="G21" s="10"/>
      <c r="H21" s="13"/>
      <c r="I21" s="435"/>
      <c r="J21" s="435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435"/>
      <c r="AN21" s="10"/>
      <c r="AO21" s="434"/>
      <c r="AP21" s="435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58"/>
      <c r="BB21" s="226"/>
      <c r="BC21" s="158"/>
      <c r="BD21" s="158"/>
      <c r="BE21" s="158"/>
      <c r="BF21" s="158"/>
      <c r="BG21" s="285"/>
      <c r="BH21" s="285"/>
      <c r="BI21" s="435"/>
      <c r="BJ21" s="13"/>
      <c r="BK21" s="10"/>
      <c r="BL21" s="10"/>
      <c r="BM21" s="128"/>
      <c r="BN21" s="435"/>
      <c r="BO21" s="128"/>
      <c r="BP21" s="128"/>
      <c r="BQ21" s="128"/>
      <c r="BR21" s="434"/>
      <c r="BS21" s="435"/>
      <c r="BT21" s="13"/>
      <c r="BU21" s="435"/>
      <c r="BV21" s="594"/>
      <c r="BW21" s="564"/>
      <c r="BX21" s="258"/>
      <c r="BY21" s="258"/>
      <c r="BZ21" s="258"/>
      <c r="CA21" s="258"/>
      <c r="CB21" s="258"/>
      <c r="CC21" s="258"/>
      <c r="CD21" s="258"/>
      <c r="CE21" s="258"/>
      <c r="CF21" s="567"/>
    </row>
    <row r="22" spans="1:84" s="116" customFormat="1" ht="24" customHeight="1">
      <c r="A22" s="456">
        <v>5</v>
      </c>
      <c r="B22" s="587" t="s">
        <v>97</v>
      </c>
      <c r="C22" s="428">
        <v>4213.8</v>
      </c>
      <c r="D22" s="61"/>
      <c r="E22" s="61"/>
      <c r="F22" s="61"/>
      <c r="G22" s="61"/>
      <c r="H22" s="71"/>
      <c r="I22" s="428"/>
      <c r="J22" s="92" t="s">
        <v>242</v>
      </c>
      <c r="K22" s="89" t="s">
        <v>263</v>
      </c>
      <c r="L22" s="61">
        <v>7.9</v>
      </c>
      <c r="M22" s="61"/>
      <c r="N22" s="61"/>
      <c r="O22" s="89"/>
      <c r="P22" s="61"/>
      <c r="Q22" s="61"/>
      <c r="R22" s="61"/>
      <c r="S22" s="61"/>
      <c r="T22" s="196"/>
      <c r="U22" s="103"/>
      <c r="V22" s="103"/>
      <c r="W22" s="61"/>
      <c r="X22" s="61"/>
      <c r="Y22" s="61"/>
      <c r="Z22" s="61"/>
      <c r="AA22" s="61"/>
      <c r="AB22" s="61"/>
      <c r="AC22" s="230"/>
      <c r="AD22" s="311"/>
      <c r="AE22" s="230"/>
      <c r="AF22" s="230"/>
      <c r="AG22" s="365"/>
      <c r="AH22" s="365"/>
      <c r="AI22" s="61"/>
      <c r="AJ22" s="61"/>
      <c r="AK22" s="61"/>
      <c r="AL22" s="61"/>
      <c r="AM22" s="457"/>
      <c r="AN22" s="61"/>
      <c r="AO22" s="596" t="s">
        <v>248</v>
      </c>
      <c r="AP22" s="528"/>
      <c r="AQ22" s="89"/>
      <c r="AR22" s="89"/>
      <c r="AS22" s="61"/>
      <c r="AT22" s="187"/>
      <c r="AU22" s="61"/>
      <c r="AV22" s="61"/>
      <c r="AW22" s="61"/>
      <c r="AX22" s="61"/>
      <c r="AY22" s="61"/>
      <c r="AZ22" s="61"/>
      <c r="BA22" s="61"/>
      <c r="BB22" s="89" t="s">
        <v>251</v>
      </c>
      <c r="BC22" s="61">
        <v>1</v>
      </c>
      <c r="BD22" s="61"/>
      <c r="BE22" s="61"/>
      <c r="BF22" s="61"/>
      <c r="BG22" s="71"/>
      <c r="BH22" s="71"/>
      <c r="BI22" s="457">
        <v>1</v>
      </c>
      <c r="BJ22" s="92"/>
      <c r="BK22" s="61"/>
      <c r="BL22" s="61"/>
      <c r="BM22" s="61"/>
      <c r="BN22" s="457" t="s">
        <v>248</v>
      </c>
      <c r="BO22" s="124"/>
      <c r="BP22" s="124"/>
      <c r="BQ22" s="124"/>
      <c r="BR22" s="428"/>
      <c r="BS22" s="457" t="s">
        <v>248</v>
      </c>
      <c r="BT22" s="71"/>
      <c r="BU22" s="428">
        <v>2</v>
      </c>
      <c r="BV22" s="574"/>
      <c r="BW22" s="561"/>
      <c r="BX22" s="305"/>
      <c r="BY22" s="305"/>
      <c r="BZ22" s="317"/>
      <c r="CA22" s="246"/>
      <c r="CB22" s="366"/>
      <c r="CC22" s="394"/>
      <c r="CD22" s="305"/>
      <c r="CE22" s="394"/>
      <c r="CF22" s="561"/>
    </row>
    <row r="23" spans="1:84" s="116" customFormat="1" ht="12" customHeight="1">
      <c r="A23" s="456"/>
      <c r="B23" s="587"/>
      <c r="C23" s="432"/>
      <c r="D23" s="61"/>
      <c r="E23" s="61"/>
      <c r="F23" s="61"/>
      <c r="G23" s="61"/>
      <c r="H23" s="272"/>
      <c r="I23" s="432"/>
      <c r="J23" s="288"/>
      <c r="K23" s="89" t="s">
        <v>336</v>
      </c>
      <c r="L23" s="61">
        <v>7.7</v>
      </c>
      <c r="M23" s="61"/>
      <c r="N23" s="61"/>
      <c r="O23" s="61"/>
      <c r="P23" s="61"/>
      <c r="Q23" s="61"/>
      <c r="R23" s="61"/>
      <c r="S23" s="61"/>
      <c r="T23" s="196"/>
      <c r="U23" s="103"/>
      <c r="V23" s="103"/>
      <c r="W23" s="61"/>
      <c r="X23" s="61"/>
      <c r="Y23" s="61"/>
      <c r="Z23" s="61"/>
      <c r="AA23" s="61"/>
      <c r="AB23" s="61"/>
      <c r="AC23" s="230"/>
      <c r="AD23" s="311"/>
      <c r="AE23" s="230"/>
      <c r="AF23" s="230"/>
      <c r="AG23" s="365"/>
      <c r="AH23" s="365"/>
      <c r="AI23" s="61"/>
      <c r="AJ23" s="61"/>
      <c r="AK23" s="61"/>
      <c r="AL23" s="61"/>
      <c r="AM23" s="432"/>
      <c r="AN23" s="61"/>
      <c r="AO23" s="456"/>
      <c r="AP23" s="447"/>
      <c r="AQ23" s="61"/>
      <c r="AR23" s="61"/>
      <c r="AS23" s="61"/>
      <c r="AT23" s="187"/>
      <c r="AU23" s="61"/>
      <c r="AV23" s="61"/>
      <c r="AW23" s="61"/>
      <c r="AX23" s="61"/>
      <c r="AY23" s="61"/>
      <c r="AZ23" s="61"/>
      <c r="BA23" s="61"/>
      <c r="BB23" s="89" t="s">
        <v>229</v>
      </c>
      <c r="BC23" s="61">
        <v>1</v>
      </c>
      <c r="BD23" s="61"/>
      <c r="BE23" s="61"/>
      <c r="BF23" s="61"/>
      <c r="BG23" s="272"/>
      <c r="BH23" s="272"/>
      <c r="BI23" s="432"/>
      <c r="BJ23" s="296"/>
      <c r="BK23" s="61"/>
      <c r="BL23" s="61"/>
      <c r="BM23" s="62"/>
      <c r="BN23" s="432"/>
      <c r="BO23" s="124"/>
      <c r="BP23" s="124"/>
      <c r="BQ23" s="124"/>
      <c r="BR23" s="432"/>
      <c r="BS23" s="432"/>
      <c r="BT23" s="272"/>
      <c r="BU23" s="447"/>
      <c r="BV23" s="575"/>
      <c r="BW23" s="562"/>
      <c r="BX23" s="307"/>
      <c r="BY23" s="307"/>
      <c r="BZ23" s="318"/>
      <c r="CA23" s="247"/>
      <c r="CB23" s="368"/>
      <c r="CC23" s="396"/>
      <c r="CD23" s="307"/>
      <c r="CE23" s="396"/>
      <c r="CF23" s="562"/>
    </row>
    <row r="24" spans="1:84" s="116" customFormat="1" ht="12" customHeight="1">
      <c r="A24" s="456"/>
      <c r="B24" s="587"/>
      <c r="C24" s="432"/>
      <c r="D24" s="61"/>
      <c r="E24" s="61"/>
      <c r="F24" s="61"/>
      <c r="G24" s="61"/>
      <c r="H24" s="272"/>
      <c r="I24" s="432"/>
      <c r="J24" s="288"/>
      <c r="K24" s="61"/>
      <c r="L24" s="61"/>
      <c r="M24" s="61"/>
      <c r="N24" s="61"/>
      <c r="O24" s="61"/>
      <c r="P24" s="61"/>
      <c r="Q24" s="61"/>
      <c r="R24" s="61"/>
      <c r="S24" s="61"/>
      <c r="T24" s="196"/>
      <c r="U24" s="196"/>
      <c r="V24" s="196"/>
      <c r="W24" s="61"/>
      <c r="X24" s="61"/>
      <c r="Y24" s="61"/>
      <c r="Z24" s="61"/>
      <c r="AA24" s="61"/>
      <c r="AB24" s="61"/>
      <c r="AC24" s="230"/>
      <c r="AD24" s="311"/>
      <c r="AE24" s="230"/>
      <c r="AF24" s="230"/>
      <c r="AG24" s="365"/>
      <c r="AH24" s="365"/>
      <c r="AI24" s="61"/>
      <c r="AJ24" s="61"/>
      <c r="AK24" s="61"/>
      <c r="AL24" s="61"/>
      <c r="AM24" s="432"/>
      <c r="AN24" s="61"/>
      <c r="AO24" s="456"/>
      <c r="AP24" s="447"/>
      <c r="AQ24" s="61"/>
      <c r="AR24" s="61"/>
      <c r="AS24" s="61"/>
      <c r="AT24" s="187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272"/>
      <c r="BH24" s="272"/>
      <c r="BI24" s="432"/>
      <c r="BJ24" s="296"/>
      <c r="BK24" s="61"/>
      <c r="BL24" s="61"/>
      <c r="BM24" s="62"/>
      <c r="BN24" s="432"/>
      <c r="BO24" s="124"/>
      <c r="BP24" s="124"/>
      <c r="BQ24" s="124"/>
      <c r="BR24" s="432"/>
      <c r="BS24" s="432"/>
      <c r="BT24" s="272"/>
      <c r="BU24" s="447"/>
      <c r="BV24" s="575"/>
      <c r="BW24" s="562"/>
      <c r="BX24" s="307"/>
      <c r="BY24" s="307"/>
      <c r="BZ24" s="318"/>
      <c r="CA24" s="247"/>
      <c r="CB24" s="368"/>
      <c r="CC24" s="396"/>
      <c r="CD24" s="307"/>
      <c r="CE24" s="396"/>
      <c r="CF24" s="562"/>
    </row>
    <row r="25" spans="1:84" s="116" customFormat="1" ht="38.25" customHeight="1">
      <c r="A25" s="456"/>
      <c r="B25" s="587"/>
      <c r="C25" s="429"/>
      <c r="D25" s="89"/>
      <c r="E25" s="61"/>
      <c r="F25" s="61"/>
      <c r="G25" s="61"/>
      <c r="H25" s="72"/>
      <c r="I25" s="429"/>
      <c r="J25" s="287"/>
      <c r="K25" s="61"/>
      <c r="L25" s="61"/>
      <c r="M25" s="61"/>
      <c r="N25" s="61"/>
      <c r="O25" s="61"/>
      <c r="P25" s="61"/>
      <c r="Q25" s="61"/>
      <c r="R25" s="61"/>
      <c r="S25" s="61"/>
      <c r="T25" s="196"/>
      <c r="U25" s="196"/>
      <c r="V25" s="196"/>
      <c r="W25" s="89"/>
      <c r="X25" s="61"/>
      <c r="Y25" s="61"/>
      <c r="Z25" s="61"/>
      <c r="AA25" s="89"/>
      <c r="AB25" s="61"/>
      <c r="AC25" s="230"/>
      <c r="AD25" s="311"/>
      <c r="AE25" s="230"/>
      <c r="AF25" s="230"/>
      <c r="AG25" s="365"/>
      <c r="AH25" s="365"/>
      <c r="AI25" s="61"/>
      <c r="AJ25" s="61"/>
      <c r="AK25" s="61"/>
      <c r="AL25" s="61"/>
      <c r="AM25" s="429"/>
      <c r="AN25" s="61"/>
      <c r="AO25" s="456"/>
      <c r="AP25" s="519"/>
      <c r="AQ25" s="89"/>
      <c r="AR25" s="61"/>
      <c r="AS25" s="61"/>
      <c r="AT25" s="187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72"/>
      <c r="BH25" s="72"/>
      <c r="BI25" s="429"/>
      <c r="BJ25" s="297"/>
      <c r="BK25" s="61"/>
      <c r="BL25" s="61"/>
      <c r="BM25" s="62"/>
      <c r="BN25" s="429"/>
      <c r="BO25" s="124"/>
      <c r="BP25" s="124"/>
      <c r="BQ25" s="124"/>
      <c r="BR25" s="432"/>
      <c r="BS25" s="429"/>
      <c r="BT25" s="72"/>
      <c r="BU25" s="519"/>
      <c r="BV25" s="576"/>
      <c r="BW25" s="563"/>
      <c r="BX25" s="306"/>
      <c r="BY25" s="306"/>
      <c r="BZ25" s="319"/>
      <c r="CA25" s="248"/>
      <c r="CB25" s="367"/>
      <c r="CC25" s="395"/>
      <c r="CD25" s="306"/>
      <c r="CE25" s="395"/>
      <c r="CF25" s="563"/>
    </row>
    <row r="26" spans="1:84" s="157" customFormat="1" ht="33.75" customHeight="1">
      <c r="A26" s="468">
        <v>6</v>
      </c>
      <c r="B26" s="588" t="s">
        <v>98</v>
      </c>
      <c r="C26" s="433">
        <v>4648.3</v>
      </c>
      <c r="D26" s="10"/>
      <c r="E26" s="10"/>
      <c r="F26" s="10"/>
      <c r="G26" s="35"/>
      <c r="H26" s="56"/>
      <c r="I26" s="433"/>
      <c r="J26" s="57"/>
      <c r="K26" s="35" t="s">
        <v>268</v>
      </c>
      <c r="L26" s="10">
        <v>50</v>
      </c>
      <c r="M26" s="35" t="s">
        <v>296</v>
      </c>
      <c r="N26" s="35" t="s">
        <v>268</v>
      </c>
      <c r="O26" s="10"/>
      <c r="P26" s="10"/>
      <c r="Q26" s="10"/>
      <c r="R26" s="10"/>
      <c r="S26" s="10"/>
      <c r="T26" s="35"/>
      <c r="U26" s="35"/>
      <c r="V26" s="35"/>
      <c r="W26" s="10"/>
      <c r="X26" s="10"/>
      <c r="Y26" s="10"/>
      <c r="Z26" s="10"/>
      <c r="AA26" s="10"/>
      <c r="AB26" s="10"/>
      <c r="AC26" s="35"/>
      <c r="AD26" s="35"/>
      <c r="AE26" s="35"/>
      <c r="AF26" s="35"/>
      <c r="AG26" s="35">
        <v>2</v>
      </c>
      <c r="AH26" s="35" t="s">
        <v>272</v>
      </c>
      <c r="AI26" s="10"/>
      <c r="AJ26" s="10"/>
      <c r="AK26" s="35"/>
      <c r="AL26" s="35"/>
      <c r="AM26" s="469"/>
      <c r="AN26" s="10"/>
      <c r="AO26" s="467" t="s">
        <v>248</v>
      </c>
      <c r="AP26" s="433"/>
      <c r="AQ26" s="10"/>
      <c r="AR26" s="10"/>
      <c r="AS26" s="10"/>
      <c r="AT26" s="10"/>
      <c r="AU26" s="10"/>
      <c r="AV26" s="10"/>
      <c r="AW26" s="10"/>
      <c r="AX26" s="10"/>
      <c r="AY26" s="35" t="s">
        <v>199</v>
      </c>
      <c r="AZ26" s="10">
        <v>20</v>
      </c>
      <c r="BA26" s="35" t="s">
        <v>225</v>
      </c>
      <c r="BB26" s="10"/>
      <c r="BC26" s="10"/>
      <c r="BD26" s="10"/>
      <c r="BE26" s="10"/>
      <c r="BF26" s="10"/>
      <c r="BG26" s="57"/>
      <c r="BH26" s="57"/>
      <c r="BI26" s="469"/>
      <c r="BJ26" s="56">
        <v>2</v>
      </c>
      <c r="BK26" s="35" t="s">
        <v>197</v>
      </c>
      <c r="BL26" s="10">
        <v>15</v>
      </c>
      <c r="BM26" s="125" t="s">
        <v>224</v>
      </c>
      <c r="BN26" s="469" t="s">
        <v>248</v>
      </c>
      <c r="BO26" s="128"/>
      <c r="BP26" s="128"/>
      <c r="BQ26" s="128"/>
      <c r="BR26" s="433"/>
      <c r="BS26" s="469" t="s">
        <v>248</v>
      </c>
      <c r="BT26" s="57"/>
      <c r="BU26" s="433">
        <v>1</v>
      </c>
      <c r="BV26" s="541"/>
      <c r="BW26" s="565"/>
      <c r="BX26" s="249"/>
      <c r="BY26" s="249"/>
      <c r="BZ26" s="249"/>
      <c r="CA26" s="249"/>
      <c r="CB26" s="249"/>
      <c r="CC26" s="249"/>
      <c r="CD26" s="249"/>
      <c r="CE26" s="249"/>
      <c r="CF26" s="565"/>
    </row>
    <row r="27" spans="1:84" s="157" customFormat="1" ht="23.25" customHeight="1">
      <c r="A27" s="468"/>
      <c r="B27" s="588"/>
      <c r="C27" s="434"/>
      <c r="D27" s="10"/>
      <c r="E27" s="10"/>
      <c r="F27" s="10"/>
      <c r="G27" s="35"/>
      <c r="H27" s="197"/>
      <c r="I27" s="434"/>
      <c r="J27" s="58"/>
      <c r="K27" s="35" t="s">
        <v>337</v>
      </c>
      <c r="L27" s="10">
        <v>29.5</v>
      </c>
      <c r="M27" s="35" t="s">
        <v>297</v>
      </c>
      <c r="N27" s="35" t="s">
        <v>269</v>
      </c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35"/>
      <c r="AD27" s="35"/>
      <c r="AE27" s="35"/>
      <c r="AF27" s="35"/>
      <c r="AG27" s="35"/>
      <c r="AH27" s="35"/>
      <c r="AI27" s="10"/>
      <c r="AJ27" s="10"/>
      <c r="AK27" s="10"/>
      <c r="AL27" s="10"/>
      <c r="AM27" s="434"/>
      <c r="AN27" s="10"/>
      <c r="AO27" s="468"/>
      <c r="AP27" s="434"/>
      <c r="AQ27" s="10"/>
      <c r="AR27" s="10"/>
      <c r="AS27" s="10"/>
      <c r="AT27" s="10"/>
      <c r="AU27" s="10"/>
      <c r="AV27" s="10"/>
      <c r="AW27" s="10"/>
      <c r="AX27" s="10"/>
      <c r="AY27" s="35" t="s">
        <v>201</v>
      </c>
      <c r="AZ27" s="10">
        <v>8</v>
      </c>
      <c r="BA27" s="35" t="s">
        <v>225</v>
      </c>
      <c r="BB27" s="10"/>
      <c r="BC27" s="10"/>
      <c r="BD27" s="10"/>
      <c r="BE27" s="10"/>
      <c r="BF27" s="10"/>
      <c r="BG27" s="58"/>
      <c r="BH27" s="58"/>
      <c r="BI27" s="434"/>
      <c r="BJ27" s="58"/>
      <c r="BK27" s="35" t="s">
        <v>206</v>
      </c>
      <c r="BL27" s="10">
        <v>3.5</v>
      </c>
      <c r="BM27" s="125" t="s">
        <v>286</v>
      </c>
      <c r="BN27" s="434"/>
      <c r="BO27" s="128"/>
      <c r="BP27" s="128"/>
      <c r="BQ27" s="128"/>
      <c r="BR27" s="434"/>
      <c r="BS27" s="434"/>
      <c r="BT27" s="58"/>
      <c r="BU27" s="434"/>
      <c r="BV27" s="546"/>
      <c r="BW27" s="566"/>
      <c r="BX27" s="250"/>
      <c r="BY27" s="250"/>
      <c r="BZ27" s="250"/>
      <c r="CA27" s="250"/>
      <c r="CB27" s="250"/>
      <c r="CC27" s="250"/>
      <c r="CD27" s="250"/>
      <c r="CE27" s="250"/>
      <c r="CF27" s="566"/>
    </row>
    <row r="28" spans="1:84" s="157" customFormat="1" ht="22.5" customHeight="1">
      <c r="A28" s="468"/>
      <c r="B28" s="588"/>
      <c r="C28" s="434"/>
      <c r="D28" s="10"/>
      <c r="E28" s="10"/>
      <c r="F28" s="10"/>
      <c r="G28" s="35"/>
      <c r="H28" s="197"/>
      <c r="I28" s="434"/>
      <c r="J28" s="58"/>
      <c r="K28" s="35" t="s">
        <v>299</v>
      </c>
      <c r="L28" s="10">
        <v>66</v>
      </c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35"/>
      <c r="AD28" s="35"/>
      <c r="AE28" s="35"/>
      <c r="AF28" s="35"/>
      <c r="AG28" s="35"/>
      <c r="AH28" s="35"/>
      <c r="AI28" s="10"/>
      <c r="AJ28" s="10"/>
      <c r="AK28" s="10"/>
      <c r="AL28" s="10"/>
      <c r="AM28" s="434"/>
      <c r="AN28" s="10"/>
      <c r="AO28" s="468"/>
      <c r="AP28" s="434"/>
      <c r="AQ28" s="10"/>
      <c r="AR28" s="10"/>
      <c r="AS28" s="10"/>
      <c r="AT28" s="10"/>
      <c r="AU28" s="10"/>
      <c r="AV28" s="10"/>
      <c r="AW28" s="10"/>
      <c r="AX28" s="10"/>
      <c r="AY28" s="35" t="s">
        <v>251</v>
      </c>
      <c r="AZ28" s="10">
        <v>4</v>
      </c>
      <c r="BA28" s="35" t="s">
        <v>196</v>
      </c>
      <c r="BB28" s="10"/>
      <c r="BC28" s="10"/>
      <c r="BD28" s="10"/>
      <c r="BE28" s="10"/>
      <c r="BF28" s="10"/>
      <c r="BG28" s="58"/>
      <c r="BH28" s="58"/>
      <c r="BI28" s="434"/>
      <c r="BJ28" s="58"/>
      <c r="BK28" s="10"/>
      <c r="BL28" s="10"/>
      <c r="BM28" s="128"/>
      <c r="BN28" s="434"/>
      <c r="BO28" s="128"/>
      <c r="BP28" s="128"/>
      <c r="BQ28" s="128"/>
      <c r="BR28" s="434"/>
      <c r="BS28" s="434"/>
      <c r="BT28" s="58"/>
      <c r="BU28" s="434"/>
      <c r="BV28" s="546"/>
      <c r="BW28" s="566"/>
      <c r="BX28" s="250"/>
      <c r="BY28" s="250"/>
      <c r="BZ28" s="250"/>
      <c r="CA28" s="250"/>
      <c r="CB28" s="250"/>
      <c r="CC28" s="250"/>
      <c r="CD28" s="250"/>
      <c r="CE28" s="250"/>
      <c r="CF28" s="566"/>
    </row>
    <row r="29" spans="1:84" s="157" customFormat="1" ht="22.5" customHeight="1">
      <c r="A29" s="468"/>
      <c r="B29" s="588"/>
      <c r="C29" s="434"/>
      <c r="D29" s="10"/>
      <c r="E29" s="10"/>
      <c r="F29" s="10"/>
      <c r="G29" s="35"/>
      <c r="H29" s="197"/>
      <c r="I29" s="434"/>
      <c r="J29" s="58"/>
      <c r="K29" s="35" t="s">
        <v>364</v>
      </c>
      <c r="L29" s="10">
        <v>5.4</v>
      </c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35"/>
      <c r="AD29" s="35"/>
      <c r="AE29" s="35"/>
      <c r="AF29" s="35"/>
      <c r="AG29" s="35"/>
      <c r="AH29" s="35"/>
      <c r="AI29" s="10"/>
      <c r="AJ29" s="10"/>
      <c r="AK29" s="10"/>
      <c r="AL29" s="10"/>
      <c r="AM29" s="434"/>
      <c r="AN29" s="10"/>
      <c r="AO29" s="468"/>
      <c r="AP29" s="434"/>
      <c r="AQ29" s="10"/>
      <c r="AR29" s="10"/>
      <c r="AS29" s="10"/>
      <c r="AT29" s="10"/>
      <c r="AU29" s="10"/>
      <c r="AV29" s="10"/>
      <c r="AW29" s="10"/>
      <c r="AX29" s="10"/>
      <c r="AY29" s="35"/>
      <c r="AZ29" s="10"/>
      <c r="BA29" s="35"/>
      <c r="BB29" s="10"/>
      <c r="BC29" s="10"/>
      <c r="BD29" s="10"/>
      <c r="BE29" s="10"/>
      <c r="BF29" s="10"/>
      <c r="BG29" s="58"/>
      <c r="BH29" s="58"/>
      <c r="BI29" s="434"/>
      <c r="BJ29" s="58"/>
      <c r="BK29" s="10"/>
      <c r="BL29" s="10"/>
      <c r="BM29" s="128"/>
      <c r="BN29" s="434"/>
      <c r="BO29" s="128"/>
      <c r="BP29" s="128"/>
      <c r="BQ29" s="128"/>
      <c r="BR29" s="434"/>
      <c r="BS29" s="434"/>
      <c r="BT29" s="58"/>
      <c r="BU29" s="434"/>
      <c r="BV29" s="546"/>
      <c r="BW29" s="566"/>
      <c r="BX29" s="250"/>
      <c r="BY29" s="250"/>
      <c r="BZ29" s="250"/>
      <c r="CA29" s="250"/>
      <c r="CB29" s="250"/>
      <c r="CC29" s="250"/>
      <c r="CD29" s="250"/>
      <c r="CE29" s="250"/>
      <c r="CF29" s="566"/>
    </row>
    <row r="30" spans="1:84" s="157" customFormat="1" ht="22.5" customHeight="1">
      <c r="A30" s="468"/>
      <c r="B30" s="588"/>
      <c r="C30" s="434"/>
      <c r="D30" s="10"/>
      <c r="E30" s="10"/>
      <c r="F30" s="10"/>
      <c r="G30" s="35"/>
      <c r="H30" s="197"/>
      <c r="I30" s="434"/>
      <c r="J30" s="58"/>
      <c r="K30" s="35" t="s">
        <v>392</v>
      </c>
      <c r="L30" s="10">
        <v>13.5</v>
      </c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35"/>
      <c r="AD30" s="35"/>
      <c r="AE30" s="35"/>
      <c r="AF30" s="35"/>
      <c r="AG30" s="35"/>
      <c r="AH30" s="35"/>
      <c r="AI30" s="10"/>
      <c r="AJ30" s="10"/>
      <c r="AK30" s="10"/>
      <c r="AL30" s="10"/>
      <c r="AM30" s="434"/>
      <c r="AN30" s="10"/>
      <c r="AO30" s="468"/>
      <c r="AP30" s="434"/>
      <c r="AQ30" s="10"/>
      <c r="AR30" s="10"/>
      <c r="AS30" s="10"/>
      <c r="AT30" s="10"/>
      <c r="AU30" s="10"/>
      <c r="AV30" s="10"/>
      <c r="AW30" s="10"/>
      <c r="AX30" s="10"/>
      <c r="AY30" s="35"/>
      <c r="AZ30" s="10"/>
      <c r="BA30" s="35"/>
      <c r="BB30" s="10"/>
      <c r="BC30" s="10"/>
      <c r="BD30" s="10"/>
      <c r="BE30" s="10"/>
      <c r="BF30" s="10"/>
      <c r="BG30" s="58"/>
      <c r="BH30" s="58"/>
      <c r="BI30" s="434"/>
      <c r="BJ30" s="58"/>
      <c r="BK30" s="10"/>
      <c r="BL30" s="10"/>
      <c r="BM30" s="128"/>
      <c r="BN30" s="434"/>
      <c r="BO30" s="128"/>
      <c r="BP30" s="128"/>
      <c r="BQ30" s="128"/>
      <c r="BR30" s="434"/>
      <c r="BS30" s="434"/>
      <c r="BT30" s="58"/>
      <c r="BU30" s="434"/>
      <c r="BV30" s="546"/>
      <c r="BW30" s="566"/>
      <c r="BX30" s="250"/>
      <c r="BY30" s="250"/>
      <c r="BZ30" s="250"/>
      <c r="CA30" s="250"/>
      <c r="CB30" s="250"/>
      <c r="CC30" s="250"/>
      <c r="CD30" s="250"/>
      <c r="CE30" s="250"/>
      <c r="CF30" s="566"/>
    </row>
    <row r="31" spans="1:84" s="157" customFormat="1" ht="24" customHeight="1">
      <c r="A31" s="468"/>
      <c r="B31" s="588"/>
      <c r="C31" s="435"/>
      <c r="D31" s="10"/>
      <c r="E31" s="10"/>
      <c r="F31" s="10"/>
      <c r="G31" s="35"/>
      <c r="H31" s="76"/>
      <c r="I31" s="435"/>
      <c r="J31" s="13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35"/>
      <c r="AD31" s="35"/>
      <c r="AE31" s="35"/>
      <c r="AF31" s="35"/>
      <c r="AG31" s="35"/>
      <c r="AH31" s="35"/>
      <c r="AI31" s="10"/>
      <c r="AJ31" s="10"/>
      <c r="AK31" s="10"/>
      <c r="AL31" s="10"/>
      <c r="AM31" s="435"/>
      <c r="AN31" s="10"/>
      <c r="AO31" s="468"/>
      <c r="AP31" s="435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3"/>
      <c r="BH31" s="13"/>
      <c r="BI31" s="435"/>
      <c r="BJ31" s="13"/>
      <c r="BK31" s="10"/>
      <c r="BL31" s="10"/>
      <c r="BM31" s="128"/>
      <c r="BN31" s="435"/>
      <c r="BO31" s="128"/>
      <c r="BP31" s="128"/>
      <c r="BQ31" s="128"/>
      <c r="BR31" s="435"/>
      <c r="BS31" s="435"/>
      <c r="BT31" s="13"/>
      <c r="BU31" s="435"/>
      <c r="BV31" s="564"/>
      <c r="BW31" s="567"/>
      <c r="BX31" s="251"/>
      <c r="BY31" s="251"/>
      <c r="BZ31" s="251"/>
      <c r="CA31" s="251"/>
      <c r="CB31" s="251"/>
      <c r="CC31" s="251"/>
      <c r="CD31" s="251"/>
      <c r="CE31" s="251"/>
      <c r="CF31" s="567"/>
    </row>
    <row r="32" spans="1:84" s="116" customFormat="1" ht="24.75" customHeight="1">
      <c r="A32" s="428">
        <v>7</v>
      </c>
      <c r="B32" s="503" t="s">
        <v>99</v>
      </c>
      <c r="C32" s="428">
        <v>4348</v>
      </c>
      <c r="D32" s="61"/>
      <c r="E32" s="61"/>
      <c r="F32" s="61"/>
      <c r="G32" s="61"/>
      <c r="H32" s="550" t="s">
        <v>242</v>
      </c>
      <c r="I32" s="61"/>
      <c r="J32" s="61"/>
      <c r="K32" s="89" t="s">
        <v>338</v>
      </c>
      <c r="L32" s="61">
        <v>18.3</v>
      </c>
      <c r="M32" s="61"/>
      <c r="N32" s="61"/>
      <c r="O32" s="89"/>
      <c r="P32" s="61"/>
      <c r="Q32" s="61"/>
      <c r="R32" s="61"/>
      <c r="S32" s="61"/>
      <c r="T32" s="61"/>
      <c r="U32" s="89"/>
      <c r="V32" s="89"/>
      <c r="W32" s="61"/>
      <c r="X32" s="61"/>
      <c r="Y32" s="187"/>
      <c r="Z32" s="187"/>
      <c r="AA32" s="61"/>
      <c r="AB32" s="61"/>
      <c r="AC32" s="230"/>
      <c r="AD32" s="311"/>
      <c r="AE32" s="230"/>
      <c r="AF32" s="230"/>
      <c r="AG32" s="365"/>
      <c r="AH32" s="365"/>
      <c r="AI32" s="61"/>
      <c r="AJ32" s="61"/>
      <c r="AK32" s="61"/>
      <c r="AL32" s="61"/>
      <c r="AM32" s="457"/>
      <c r="AN32" s="61"/>
      <c r="AO32" s="457" t="s">
        <v>248</v>
      </c>
      <c r="AP32" s="528"/>
      <c r="AQ32" s="89"/>
      <c r="AR32" s="89"/>
      <c r="AS32" s="61"/>
      <c r="AT32" s="187"/>
      <c r="AU32" s="61"/>
      <c r="AV32" s="61"/>
      <c r="AW32" s="61"/>
      <c r="AX32" s="61"/>
      <c r="AY32" s="89" t="s">
        <v>199</v>
      </c>
      <c r="AZ32" s="61">
        <v>8</v>
      </c>
      <c r="BA32" s="89"/>
      <c r="BB32" s="89" t="s">
        <v>229</v>
      </c>
      <c r="BC32" s="61">
        <v>2</v>
      </c>
      <c r="BD32" s="61"/>
      <c r="BE32" s="61"/>
      <c r="BF32" s="61"/>
      <c r="BG32" s="71"/>
      <c r="BH32" s="71"/>
      <c r="BI32" s="428">
        <v>1</v>
      </c>
      <c r="BJ32" s="71"/>
      <c r="BK32" s="61"/>
      <c r="BL32" s="61"/>
      <c r="BM32" s="61"/>
      <c r="BN32" s="457" t="s">
        <v>248</v>
      </c>
      <c r="BO32" s="61"/>
      <c r="BP32" s="61"/>
      <c r="BQ32" s="61"/>
      <c r="BR32" s="428"/>
      <c r="BS32" s="457" t="s">
        <v>248</v>
      </c>
      <c r="BT32" s="71"/>
      <c r="BU32" s="428">
        <v>3</v>
      </c>
      <c r="BV32" s="539">
        <v>1</v>
      </c>
      <c r="BW32" s="561"/>
      <c r="BX32" s="305"/>
      <c r="BY32" s="305"/>
      <c r="BZ32" s="317"/>
      <c r="CA32" s="246"/>
      <c r="CB32" s="366"/>
      <c r="CC32" s="394"/>
      <c r="CD32" s="305"/>
      <c r="CE32" s="394"/>
      <c r="CF32" s="561"/>
    </row>
    <row r="33" spans="1:84" s="116" customFormat="1" ht="12" customHeight="1">
      <c r="A33" s="432"/>
      <c r="B33" s="504"/>
      <c r="C33" s="432"/>
      <c r="D33" s="61"/>
      <c r="E33" s="61"/>
      <c r="F33" s="61"/>
      <c r="G33" s="61"/>
      <c r="H33" s="447"/>
      <c r="I33" s="61"/>
      <c r="J33" s="61"/>
      <c r="K33" s="89" t="s">
        <v>393</v>
      </c>
      <c r="L33" s="61">
        <v>20</v>
      </c>
      <c r="M33" s="61"/>
      <c r="N33" s="61"/>
      <c r="O33" s="61"/>
      <c r="P33" s="61"/>
      <c r="Q33" s="61"/>
      <c r="R33" s="61"/>
      <c r="S33" s="61"/>
      <c r="T33" s="61"/>
      <c r="U33" s="89"/>
      <c r="V33" s="89"/>
      <c r="W33" s="61"/>
      <c r="X33" s="61"/>
      <c r="Y33" s="187"/>
      <c r="Z33" s="187"/>
      <c r="AA33" s="61"/>
      <c r="AB33" s="61"/>
      <c r="AC33" s="230"/>
      <c r="AD33" s="311"/>
      <c r="AE33" s="230"/>
      <c r="AF33" s="230"/>
      <c r="AG33" s="365"/>
      <c r="AH33" s="365"/>
      <c r="AI33" s="61"/>
      <c r="AJ33" s="61"/>
      <c r="AK33" s="61"/>
      <c r="AL33" s="61"/>
      <c r="AM33" s="432"/>
      <c r="AN33" s="61"/>
      <c r="AO33" s="432"/>
      <c r="AP33" s="447"/>
      <c r="AQ33" s="61"/>
      <c r="AR33" s="61"/>
      <c r="AS33" s="61"/>
      <c r="AT33" s="187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272"/>
      <c r="BH33" s="272"/>
      <c r="BI33" s="432"/>
      <c r="BJ33" s="296"/>
      <c r="BK33" s="61"/>
      <c r="BL33" s="61"/>
      <c r="BM33" s="61"/>
      <c r="BN33" s="432"/>
      <c r="BO33" s="61"/>
      <c r="BP33" s="61"/>
      <c r="BQ33" s="61"/>
      <c r="BR33" s="432"/>
      <c r="BS33" s="432"/>
      <c r="BT33" s="272"/>
      <c r="BU33" s="447"/>
      <c r="BV33" s="547"/>
      <c r="BW33" s="562"/>
      <c r="BX33" s="307"/>
      <c r="BY33" s="307"/>
      <c r="BZ33" s="318"/>
      <c r="CA33" s="247"/>
      <c r="CB33" s="368"/>
      <c r="CC33" s="396"/>
      <c r="CD33" s="307"/>
      <c r="CE33" s="396"/>
      <c r="CF33" s="562"/>
    </row>
    <row r="34" spans="1:84" s="116" customFormat="1" ht="36" customHeight="1">
      <c r="A34" s="432"/>
      <c r="B34" s="504"/>
      <c r="C34" s="432"/>
      <c r="D34" s="61"/>
      <c r="E34" s="61"/>
      <c r="F34" s="61"/>
      <c r="G34" s="61"/>
      <c r="H34" s="447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187"/>
      <c r="Z34" s="187"/>
      <c r="AA34" s="61"/>
      <c r="AB34" s="61"/>
      <c r="AC34" s="230"/>
      <c r="AD34" s="311"/>
      <c r="AE34" s="230"/>
      <c r="AF34" s="230"/>
      <c r="AG34" s="365"/>
      <c r="AH34" s="365"/>
      <c r="AI34" s="89"/>
      <c r="AJ34" s="89"/>
      <c r="AK34" s="61"/>
      <c r="AL34" s="61"/>
      <c r="AM34" s="432"/>
      <c r="AN34" s="61"/>
      <c r="AO34" s="432"/>
      <c r="AP34" s="447"/>
      <c r="AQ34" s="61"/>
      <c r="AR34" s="61"/>
      <c r="AS34" s="61"/>
      <c r="AT34" s="187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272"/>
      <c r="BH34" s="272"/>
      <c r="BI34" s="432"/>
      <c r="BJ34" s="296"/>
      <c r="BK34" s="61"/>
      <c r="BL34" s="61"/>
      <c r="BM34" s="61"/>
      <c r="BN34" s="432"/>
      <c r="BO34" s="129"/>
      <c r="BP34" s="129"/>
      <c r="BQ34" s="129"/>
      <c r="BR34" s="432"/>
      <c r="BS34" s="432"/>
      <c r="BT34" s="272"/>
      <c r="BU34" s="447"/>
      <c r="BV34" s="547"/>
      <c r="BW34" s="562"/>
      <c r="BX34" s="307"/>
      <c r="BY34" s="307"/>
      <c r="BZ34" s="318"/>
      <c r="CA34" s="247"/>
      <c r="CB34" s="368"/>
      <c r="CC34" s="396"/>
      <c r="CD34" s="307"/>
      <c r="CE34" s="396"/>
      <c r="CF34" s="562"/>
    </row>
    <row r="35" spans="1:84" s="116" customFormat="1" ht="12" customHeight="1">
      <c r="A35" s="429"/>
      <c r="B35" s="505"/>
      <c r="C35" s="429"/>
      <c r="D35" s="61"/>
      <c r="E35" s="61"/>
      <c r="F35" s="61"/>
      <c r="G35" s="61"/>
      <c r="H35" s="519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89"/>
      <c r="AD35" s="89"/>
      <c r="AE35" s="89"/>
      <c r="AF35" s="89"/>
      <c r="AG35" s="89"/>
      <c r="AH35" s="89"/>
      <c r="AI35" s="61"/>
      <c r="AJ35" s="61"/>
      <c r="AK35" s="61"/>
      <c r="AL35" s="61"/>
      <c r="AM35" s="429"/>
      <c r="AN35" s="61"/>
      <c r="AO35" s="429"/>
      <c r="AP35" s="519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72"/>
      <c r="BH35" s="72"/>
      <c r="BI35" s="429"/>
      <c r="BJ35" s="297"/>
      <c r="BK35" s="61"/>
      <c r="BL35" s="61"/>
      <c r="BM35" s="61"/>
      <c r="BN35" s="429"/>
      <c r="BO35" s="129"/>
      <c r="BP35" s="129"/>
      <c r="BQ35" s="129"/>
      <c r="BR35" s="429"/>
      <c r="BS35" s="429"/>
      <c r="BT35" s="72"/>
      <c r="BU35" s="519"/>
      <c r="BV35" s="576"/>
      <c r="BW35" s="563"/>
      <c r="BX35" s="306"/>
      <c r="BY35" s="306"/>
      <c r="BZ35" s="319"/>
      <c r="CA35" s="248"/>
      <c r="CB35" s="367"/>
      <c r="CC35" s="395"/>
      <c r="CD35" s="306"/>
      <c r="CE35" s="395"/>
      <c r="CF35" s="563"/>
    </row>
    <row r="36" spans="1:84" s="157" customFormat="1" ht="33.75" customHeight="1">
      <c r="A36" s="433">
        <v>8</v>
      </c>
      <c r="B36" s="443" t="s">
        <v>100</v>
      </c>
      <c r="C36" s="433">
        <v>4339.5</v>
      </c>
      <c r="D36" s="10"/>
      <c r="E36" s="10"/>
      <c r="F36" s="10"/>
      <c r="G36" s="10"/>
      <c r="H36" s="469" t="s">
        <v>242</v>
      </c>
      <c r="I36" s="10"/>
      <c r="J36" s="10"/>
      <c r="K36" s="35" t="s">
        <v>394</v>
      </c>
      <c r="L36" s="10">
        <v>10.4</v>
      </c>
      <c r="M36" s="10"/>
      <c r="N36" s="10"/>
      <c r="O36" s="35"/>
      <c r="P36" s="10"/>
      <c r="Q36" s="10"/>
      <c r="R36" s="10"/>
      <c r="S36" s="10"/>
      <c r="T36" s="10"/>
      <c r="U36" s="35"/>
      <c r="V36" s="35"/>
      <c r="W36" s="35" t="s">
        <v>360</v>
      </c>
      <c r="X36" s="10">
        <v>2</v>
      </c>
      <c r="Y36" s="10"/>
      <c r="Z36" s="10"/>
      <c r="AA36" s="10"/>
      <c r="AB36" s="10"/>
      <c r="AC36" s="35"/>
      <c r="AD36" s="35"/>
      <c r="AE36" s="35"/>
      <c r="AF36" s="35"/>
      <c r="AG36" s="35"/>
      <c r="AH36" s="35"/>
      <c r="AI36" s="10"/>
      <c r="AJ36" s="10"/>
      <c r="AK36" s="35">
        <v>10</v>
      </c>
      <c r="AL36" s="35" t="s">
        <v>361</v>
      </c>
      <c r="AM36" s="469"/>
      <c r="AN36" s="10"/>
      <c r="AO36" s="469" t="s">
        <v>248</v>
      </c>
      <c r="AP36" s="433"/>
      <c r="AQ36" s="35"/>
      <c r="AR36" s="35"/>
      <c r="AS36" s="10"/>
      <c r="AT36" s="10"/>
      <c r="AU36" s="10"/>
      <c r="AV36" s="10"/>
      <c r="AW36" s="10"/>
      <c r="AX36" s="10"/>
      <c r="AY36" s="35"/>
      <c r="AZ36" s="10"/>
      <c r="BA36" s="35"/>
      <c r="BB36" s="35" t="s">
        <v>229</v>
      </c>
      <c r="BC36" s="10">
        <v>2</v>
      </c>
      <c r="BD36" s="10"/>
      <c r="BE36" s="10"/>
      <c r="BF36" s="10"/>
      <c r="BG36" s="57"/>
      <c r="BH36" s="57"/>
      <c r="BI36" s="433">
        <v>1</v>
      </c>
      <c r="BJ36" s="57"/>
      <c r="BK36" s="10"/>
      <c r="BL36" s="10"/>
      <c r="BM36" s="10"/>
      <c r="BN36" s="469" t="s">
        <v>248</v>
      </c>
      <c r="BO36" s="10"/>
      <c r="BP36" s="10"/>
      <c r="BQ36" s="10"/>
      <c r="BR36" s="433"/>
      <c r="BS36" s="469" t="s">
        <v>248</v>
      </c>
      <c r="BT36" s="57"/>
      <c r="BU36" s="433">
        <v>1</v>
      </c>
      <c r="BV36" s="541"/>
      <c r="BW36" s="541"/>
      <c r="BX36" s="198"/>
      <c r="BY36" s="198"/>
      <c r="BZ36" s="198"/>
      <c r="CA36" s="198"/>
      <c r="CB36" s="198"/>
      <c r="CC36" s="198"/>
      <c r="CD36" s="198"/>
      <c r="CE36" s="198"/>
      <c r="CF36" s="565"/>
    </row>
    <row r="37" spans="1:84" s="157" customFormat="1" ht="22.5" customHeight="1">
      <c r="A37" s="434"/>
      <c r="B37" s="444"/>
      <c r="C37" s="434"/>
      <c r="D37" s="10"/>
      <c r="E37" s="10"/>
      <c r="F37" s="10"/>
      <c r="G37" s="10"/>
      <c r="H37" s="434"/>
      <c r="I37" s="10"/>
      <c r="J37" s="10"/>
      <c r="K37" s="35"/>
      <c r="L37" s="10"/>
      <c r="M37" s="10"/>
      <c r="N37" s="10"/>
      <c r="O37" s="10"/>
      <c r="P37" s="10"/>
      <c r="Q37" s="10"/>
      <c r="R37" s="10"/>
      <c r="S37" s="10"/>
      <c r="T37" s="10"/>
      <c r="U37" s="35"/>
      <c r="V37" s="35"/>
      <c r="W37" s="10"/>
      <c r="X37" s="10"/>
      <c r="Y37" s="10"/>
      <c r="Z37" s="10"/>
      <c r="AA37" s="10"/>
      <c r="AB37" s="10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434"/>
      <c r="AN37" s="10"/>
      <c r="AO37" s="434"/>
      <c r="AP37" s="434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9"/>
      <c r="BC37" s="9"/>
      <c r="BD37" s="9"/>
      <c r="BE37" s="9"/>
      <c r="BF37" s="9"/>
      <c r="BG37" s="386"/>
      <c r="BH37" s="386"/>
      <c r="BI37" s="434"/>
      <c r="BJ37" s="58"/>
      <c r="BK37" s="10"/>
      <c r="BL37" s="10"/>
      <c r="BM37" s="10"/>
      <c r="BN37" s="434"/>
      <c r="BO37" s="10"/>
      <c r="BP37" s="10"/>
      <c r="BQ37" s="10"/>
      <c r="BR37" s="434"/>
      <c r="BS37" s="434"/>
      <c r="BT37" s="58"/>
      <c r="BU37" s="434"/>
      <c r="BV37" s="546"/>
      <c r="BW37" s="546"/>
      <c r="BX37" s="245"/>
      <c r="BY37" s="245"/>
      <c r="BZ37" s="245"/>
      <c r="CA37" s="245"/>
      <c r="CB37" s="245"/>
      <c r="CC37" s="245"/>
      <c r="CD37" s="245"/>
      <c r="CE37" s="245"/>
      <c r="CF37" s="566"/>
    </row>
    <row r="38" spans="1:84" s="157" customFormat="1" ht="12" customHeight="1">
      <c r="A38" s="434"/>
      <c r="B38" s="444"/>
      <c r="C38" s="434"/>
      <c r="D38" s="10"/>
      <c r="E38" s="10"/>
      <c r="F38" s="10"/>
      <c r="G38" s="10"/>
      <c r="H38" s="434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35"/>
      <c r="AD38" s="35"/>
      <c r="AE38" s="35"/>
      <c r="AF38" s="35"/>
      <c r="AG38" s="35"/>
      <c r="AH38" s="35"/>
      <c r="AI38" s="10"/>
      <c r="AJ38" s="10"/>
      <c r="AK38" s="10"/>
      <c r="AL38" s="10"/>
      <c r="AM38" s="434"/>
      <c r="AN38" s="10"/>
      <c r="AO38" s="434"/>
      <c r="AP38" s="434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9"/>
      <c r="BC38" s="9"/>
      <c r="BD38" s="9"/>
      <c r="BE38" s="9"/>
      <c r="BF38" s="9"/>
      <c r="BG38" s="386"/>
      <c r="BH38" s="386"/>
      <c r="BI38" s="434"/>
      <c r="BJ38" s="58"/>
      <c r="BK38" s="10"/>
      <c r="BL38" s="10"/>
      <c r="BM38" s="10"/>
      <c r="BN38" s="434"/>
      <c r="BO38" s="10"/>
      <c r="BP38" s="10"/>
      <c r="BQ38" s="10"/>
      <c r="BR38" s="434"/>
      <c r="BS38" s="434"/>
      <c r="BT38" s="58"/>
      <c r="BU38" s="434"/>
      <c r="BV38" s="546"/>
      <c r="BW38" s="546"/>
      <c r="BX38" s="245"/>
      <c r="BY38" s="245"/>
      <c r="BZ38" s="245"/>
      <c r="CA38" s="245"/>
      <c r="CB38" s="245"/>
      <c r="CC38" s="245"/>
      <c r="CD38" s="245"/>
      <c r="CE38" s="245"/>
      <c r="CF38" s="566"/>
    </row>
    <row r="39" spans="1:84" s="157" customFormat="1" ht="21" customHeight="1">
      <c r="A39" s="435"/>
      <c r="B39" s="506"/>
      <c r="C39" s="435"/>
      <c r="D39" s="10"/>
      <c r="E39" s="10"/>
      <c r="F39" s="10"/>
      <c r="G39" s="10"/>
      <c r="H39" s="435"/>
      <c r="I39" s="10"/>
      <c r="J39" s="10"/>
      <c r="K39" s="10"/>
      <c r="L39" s="10"/>
      <c r="M39" s="10"/>
      <c r="N39" s="10"/>
      <c r="O39" s="10"/>
      <c r="P39" s="10"/>
      <c r="Q39" s="35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35"/>
      <c r="AD39" s="35"/>
      <c r="AE39" s="35"/>
      <c r="AF39" s="35"/>
      <c r="AG39" s="35"/>
      <c r="AH39" s="35"/>
      <c r="AI39" s="35"/>
      <c r="AJ39" s="35"/>
      <c r="AK39" s="10"/>
      <c r="AL39" s="10"/>
      <c r="AM39" s="435"/>
      <c r="AN39" s="10"/>
      <c r="AO39" s="435"/>
      <c r="AP39" s="435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9"/>
      <c r="BC39" s="9"/>
      <c r="BD39" s="9"/>
      <c r="BE39" s="9"/>
      <c r="BF39" s="9"/>
      <c r="BG39" s="7"/>
      <c r="BH39" s="7"/>
      <c r="BI39" s="435"/>
      <c r="BJ39" s="13"/>
      <c r="BK39" s="10"/>
      <c r="BL39" s="10"/>
      <c r="BM39" s="114"/>
      <c r="BN39" s="435"/>
      <c r="BO39" s="114"/>
      <c r="BP39" s="114"/>
      <c r="BQ39" s="114"/>
      <c r="BR39" s="435"/>
      <c r="BS39" s="435"/>
      <c r="BT39" s="13"/>
      <c r="BU39" s="435"/>
      <c r="BV39" s="564"/>
      <c r="BW39" s="564"/>
      <c r="BX39" s="258"/>
      <c r="BY39" s="258"/>
      <c r="BZ39" s="258"/>
      <c r="CA39" s="258"/>
      <c r="CB39" s="258"/>
      <c r="CC39" s="258"/>
      <c r="CD39" s="258"/>
      <c r="CE39" s="258"/>
      <c r="CF39" s="567"/>
    </row>
    <row r="40" spans="1:84" s="116" customFormat="1" ht="24.75" customHeight="1">
      <c r="A40" s="456">
        <v>9</v>
      </c>
      <c r="B40" s="587" t="s">
        <v>101</v>
      </c>
      <c r="C40" s="428">
        <v>4617.69</v>
      </c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89"/>
      <c r="P40" s="61"/>
      <c r="Q40" s="61"/>
      <c r="R40" s="61"/>
      <c r="S40" s="89"/>
      <c r="T40" s="61"/>
      <c r="U40" s="61"/>
      <c r="V40" s="61"/>
      <c r="W40" s="61"/>
      <c r="X40" s="61"/>
      <c r="Y40" s="187"/>
      <c r="Z40" s="187"/>
      <c r="AA40" s="61"/>
      <c r="AB40" s="61"/>
      <c r="AC40" s="230"/>
      <c r="AD40" s="311"/>
      <c r="AE40" s="230"/>
      <c r="AF40" s="230"/>
      <c r="AG40" s="365"/>
      <c r="AH40" s="365"/>
      <c r="AI40" s="61">
        <v>11</v>
      </c>
      <c r="AJ40" s="89" t="s">
        <v>273</v>
      </c>
      <c r="AK40" s="61"/>
      <c r="AL40" s="89"/>
      <c r="AM40" s="457"/>
      <c r="AN40" s="61"/>
      <c r="AO40" s="596" t="s">
        <v>248</v>
      </c>
      <c r="AP40" s="528"/>
      <c r="AQ40" s="61"/>
      <c r="AR40" s="61"/>
      <c r="AS40" s="61"/>
      <c r="AT40" s="187"/>
      <c r="AU40" s="61"/>
      <c r="AV40" s="61"/>
      <c r="AW40" s="61"/>
      <c r="AX40" s="61"/>
      <c r="AY40" s="89" t="s">
        <v>201</v>
      </c>
      <c r="AZ40" s="61">
        <v>4</v>
      </c>
      <c r="BA40" s="89" t="s">
        <v>203</v>
      </c>
      <c r="BB40" s="61"/>
      <c r="BC40" s="61"/>
      <c r="BD40" s="61"/>
      <c r="BE40" s="61"/>
      <c r="BF40" s="61"/>
      <c r="BG40" s="71"/>
      <c r="BH40" s="71"/>
      <c r="BI40" s="457"/>
      <c r="BJ40" s="92"/>
      <c r="BK40" s="89" t="s">
        <v>197</v>
      </c>
      <c r="BL40" s="103">
        <v>2</v>
      </c>
      <c r="BM40" s="130" t="s">
        <v>204</v>
      </c>
      <c r="BN40" s="457" t="s">
        <v>248</v>
      </c>
      <c r="BO40" s="124"/>
      <c r="BP40" s="124"/>
      <c r="BQ40" s="124"/>
      <c r="BR40" s="428"/>
      <c r="BS40" s="457" t="s">
        <v>248</v>
      </c>
      <c r="BT40" s="71"/>
      <c r="BU40" s="428">
        <v>1</v>
      </c>
      <c r="BV40" s="539"/>
      <c r="BW40" s="561"/>
      <c r="BX40" s="305"/>
      <c r="BY40" s="305"/>
      <c r="BZ40" s="317"/>
      <c r="CA40" s="246"/>
      <c r="CB40" s="366"/>
      <c r="CC40" s="394"/>
      <c r="CD40" s="305"/>
      <c r="CE40" s="574" t="s">
        <v>248</v>
      </c>
      <c r="CF40" s="561"/>
    </row>
    <row r="41" spans="1:84" s="116" customFormat="1" ht="24.75" customHeight="1">
      <c r="A41" s="456"/>
      <c r="B41" s="587"/>
      <c r="C41" s="432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89"/>
      <c r="T41" s="61"/>
      <c r="U41" s="61"/>
      <c r="V41" s="61"/>
      <c r="W41" s="89"/>
      <c r="X41" s="61"/>
      <c r="Y41" s="187"/>
      <c r="Z41" s="187"/>
      <c r="AA41" s="61"/>
      <c r="AB41" s="61"/>
      <c r="AC41" s="230"/>
      <c r="AD41" s="311"/>
      <c r="AE41" s="230"/>
      <c r="AF41" s="230"/>
      <c r="AG41" s="365"/>
      <c r="AH41" s="365"/>
      <c r="AI41" s="89">
        <v>9</v>
      </c>
      <c r="AJ41" s="89" t="s">
        <v>373</v>
      </c>
      <c r="AK41" s="89"/>
      <c r="AL41" s="89"/>
      <c r="AM41" s="432"/>
      <c r="AN41" s="61"/>
      <c r="AO41" s="456"/>
      <c r="AP41" s="447"/>
      <c r="AQ41" s="61"/>
      <c r="AR41" s="61"/>
      <c r="AS41" s="61"/>
      <c r="AT41" s="187"/>
      <c r="AU41" s="61"/>
      <c r="AV41" s="61"/>
      <c r="AW41" s="61"/>
      <c r="AX41" s="61"/>
      <c r="AY41" s="89"/>
      <c r="AZ41" s="61"/>
      <c r="BA41" s="89"/>
      <c r="BB41" s="61"/>
      <c r="BC41" s="61"/>
      <c r="BD41" s="61"/>
      <c r="BE41" s="61"/>
      <c r="BF41" s="61"/>
      <c r="BG41" s="272"/>
      <c r="BH41" s="272"/>
      <c r="BI41" s="432"/>
      <c r="BJ41" s="296"/>
      <c r="BK41" s="61"/>
      <c r="BL41" s="102"/>
      <c r="BM41" s="130"/>
      <c r="BN41" s="432"/>
      <c r="BO41" s="124"/>
      <c r="BP41" s="124"/>
      <c r="BQ41" s="124"/>
      <c r="BR41" s="432"/>
      <c r="BS41" s="432"/>
      <c r="BT41" s="272"/>
      <c r="BU41" s="447"/>
      <c r="BV41" s="547"/>
      <c r="BW41" s="562"/>
      <c r="BX41" s="307"/>
      <c r="BY41" s="307"/>
      <c r="BZ41" s="318"/>
      <c r="CA41" s="247"/>
      <c r="CB41" s="368"/>
      <c r="CC41" s="396"/>
      <c r="CD41" s="307"/>
      <c r="CE41" s="575"/>
      <c r="CF41" s="562"/>
    </row>
    <row r="42" spans="1:84" s="116" customFormat="1" ht="12" customHeight="1">
      <c r="A42" s="456"/>
      <c r="B42" s="587"/>
      <c r="C42" s="432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89"/>
      <c r="T42" s="61"/>
      <c r="U42" s="61"/>
      <c r="V42" s="61"/>
      <c r="W42" s="61"/>
      <c r="X42" s="61"/>
      <c r="Y42" s="187"/>
      <c r="Z42" s="187"/>
      <c r="AA42" s="61"/>
      <c r="AB42" s="61"/>
      <c r="AC42" s="230"/>
      <c r="AD42" s="311"/>
      <c r="AE42" s="230"/>
      <c r="AF42" s="230"/>
      <c r="AG42" s="365"/>
      <c r="AH42" s="365"/>
      <c r="AI42" s="61"/>
      <c r="AJ42" s="61"/>
      <c r="AK42" s="61"/>
      <c r="AL42" s="61"/>
      <c r="AM42" s="432"/>
      <c r="AN42" s="61"/>
      <c r="AO42" s="456"/>
      <c r="AP42" s="447"/>
      <c r="AQ42" s="61"/>
      <c r="AR42" s="61"/>
      <c r="AS42" s="61"/>
      <c r="AT42" s="187"/>
      <c r="AU42" s="61"/>
      <c r="AV42" s="61"/>
      <c r="AW42" s="61"/>
      <c r="AX42" s="61"/>
      <c r="AY42" s="61"/>
      <c r="AZ42" s="61"/>
      <c r="BA42" s="61"/>
      <c r="BB42" s="61"/>
      <c r="BC42" s="61"/>
      <c r="BD42" s="61"/>
      <c r="BE42" s="61"/>
      <c r="BF42" s="61"/>
      <c r="BG42" s="272"/>
      <c r="BH42" s="272"/>
      <c r="BI42" s="432"/>
      <c r="BJ42" s="296"/>
      <c r="BK42" s="61"/>
      <c r="BL42" s="61"/>
      <c r="BM42" s="124"/>
      <c r="BN42" s="432"/>
      <c r="BO42" s="124"/>
      <c r="BP42" s="124"/>
      <c r="BQ42" s="124"/>
      <c r="BR42" s="432"/>
      <c r="BS42" s="432"/>
      <c r="BT42" s="272"/>
      <c r="BU42" s="447"/>
      <c r="BV42" s="547"/>
      <c r="BW42" s="562"/>
      <c r="BX42" s="307"/>
      <c r="BY42" s="307"/>
      <c r="BZ42" s="318"/>
      <c r="CA42" s="247"/>
      <c r="CB42" s="368"/>
      <c r="CC42" s="396"/>
      <c r="CD42" s="307"/>
      <c r="CE42" s="575"/>
      <c r="CF42" s="562"/>
    </row>
    <row r="43" spans="1:84" s="116" customFormat="1" ht="12" customHeight="1">
      <c r="A43" s="456"/>
      <c r="B43" s="587"/>
      <c r="C43" s="429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89"/>
      <c r="T43" s="61"/>
      <c r="U43" s="61"/>
      <c r="V43" s="61"/>
      <c r="W43" s="61"/>
      <c r="X43" s="61"/>
      <c r="Y43" s="187"/>
      <c r="Z43" s="187"/>
      <c r="AA43" s="61"/>
      <c r="AB43" s="61"/>
      <c r="AC43" s="230"/>
      <c r="AD43" s="311"/>
      <c r="AE43" s="230"/>
      <c r="AF43" s="230"/>
      <c r="AG43" s="365"/>
      <c r="AH43" s="365"/>
      <c r="AI43" s="61"/>
      <c r="AJ43" s="61"/>
      <c r="AK43" s="61"/>
      <c r="AL43" s="61"/>
      <c r="AM43" s="429"/>
      <c r="AN43" s="61"/>
      <c r="AO43" s="456"/>
      <c r="AP43" s="519"/>
      <c r="AQ43" s="61"/>
      <c r="AR43" s="61"/>
      <c r="AS43" s="61"/>
      <c r="AT43" s="187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72"/>
      <c r="BH43" s="72"/>
      <c r="BI43" s="429"/>
      <c r="BJ43" s="297"/>
      <c r="BK43" s="61"/>
      <c r="BL43" s="61"/>
      <c r="BM43" s="124"/>
      <c r="BN43" s="429"/>
      <c r="BO43" s="124"/>
      <c r="BP43" s="124"/>
      <c r="BQ43" s="124"/>
      <c r="BR43" s="429"/>
      <c r="BS43" s="429"/>
      <c r="BT43" s="72"/>
      <c r="BU43" s="519"/>
      <c r="BV43" s="576"/>
      <c r="BW43" s="563"/>
      <c r="BX43" s="306"/>
      <c r="BY43" s="306"/>
      <c r="BZ43" s="319"/>
      <c r="CA43" s="248"/>
      <c r="CB43" s="367"/>
      <c r="CC43" s="395"/>
      <c r="CD43" s="306"/>
      <c r="CE43" s="576"/>
      <c r="CF43" s="563"/>
    </row>
    <row r="44" spans="1:84" s="157" customFormat="1" ht="12" customHeight="1">
      <c r="A44" s="433">
        <v>10</v>
      </c>
      <c r="B44" s="443" t="s">
        <v>102</v>
      </c>
      <c r="C44" s="433">
        <v>4577.2</v>
      </c>
      <c r="D44" s="10"/>
      <c r="E44" s="10"/>
      <c r="F44" s="10"/>
      <c r="G44" s="13"/>
      <c r="H44" s="13"/>
      <c r="I44" s="13"/>
      <c r="J44" s="13"/>
      <c r="K44" s="13"/>
      <c r="L44" s="13"/>
      <c r="M44" s="13"/>
      <c r="N44" s="13"/>
      <c r="O44" s="76" t="s">
        <v>375</v>
      </c>
      <c r="P44" s="10">
        <v>0.6</v>
      </c>
      <c r="Q44" s="10"/>
      <c r="R44" s="10">
        <v>4</v>
      </c>
      <c r="S44" s="35" t="s">
        <v>242</v>
      </c>
      <c r="T44" s="10"/>
      <c r="U44" s="10"/>
      <c r="V44" s="10"/>
      <c r="W44" s="10"/>
      <c r="X44" s="10"/>
      <c r="Y44" s="10"/>
      <c r="Z44" s="10"/>
      <c r="AA44" s="57"/>
      <c r="AB44" s="57"/>
      <c r="AC44" s="56"/>
      <c r="AD44" s="56"/>
      <c r="AE44" s="56"/>
      <c r="AF44" s="56"/>
      <c r="AG44" s="56">
        <v>2</v>
      </c>
      <c r="AH44" s="56" t="s">
        <v>314</v>
      </c>
      <c r="AI44" s="10"/>
      <c r="AJ44" s="57"/>
      <c r="AK44" s="57"/>
      <c r="AL44" s="57"/>
      <c r="AM44" s="469"/>
      <c r="AN44" s="10"/>
      <c r="AO44" s="469" t="s">
        <v>248</v>
      </c>
      <c r="AP44" s="433"/>
      <c r="AQ44" s="10"/>
      <c r="AR44" s="10"/>
      <c r="AS44" s="10"/>
      <c r="AT44" s="10"/>
      <c r="AU44" s="10"/>
      <c r="AV44" s="35" t="s">
        <v>375</v>
      </c>
      <c r="AW44" s="35" t="s">
        <v>376</v>
      </c>
      <c r="AX44" s="10">
        <v>2</v>
      </c>
      <c r="AY44" s="41" t="s">
        <v>201</v>
      </c>
      <c r="AZ44" s="10">
        <v>8</v>
      </c>
      <c r="BA44" s="35" t="s">
        <v>226</v>
      </c>
      <c r="BB44" s="10"/>
      <c r="BC44" s="10"/>
      <c r="BD44" s="10"/>
      <c r="BE44" s="10"/>
      <c r="BF44" s="10"/>
      <c r="BG44" s="57"/>
      <c r="BH44" s="57"/>
      <c r="BI44" s="433"/>
      <c r="BJ44" s="57"/>
      <c r="BK44" s="10"/>
      <c r="BL44" s="10"/>
      <c r="BM44" s="10"/>
      <c r="BN44" s="469" t="s">
        <v>248</v>
      </c>
      <c r="BO44" s="10"/>
      <c r="BP44" s="10"/>
      <c r="BQ44" s="10"/>
      <c r="BR44" s="433"/>
      <c r="BS44" s="469" t="s">
        <v>248</v>
      </c>
      <c r="BT44" s="57"/>
      <c r="BU44" s="433">
        <v>1</v>
      </c>
      <c r="BV44" s="541"/>
      <c r="BW44" s="565"/>
      <c r="BX44" s="249"/>
      <c r="BY44" s="249"/>
      <c r="BZ44" s="249"/>
      <c r="CA44" s="249"/>
      <c r="CB44" s="249"/>
      <c r="CC44" s="249"/>
      <c r="CD44" s="249"/>
      <c r="CE44" s="249"/>
      <c r="CF44" s="565"/>
    </row>
    <row r="45" spans="1:84" s="157" customFormat="1" ht="22.5" customHeight="1">
      <c r="A45" s="434"/>
      <c r="B45" s="444"/>
      <c r="C45" s="434"/>
      <c r="D45" s="10"/>
      <c r="E45" s="10"/>
      <c r="F45" s="10"/>
      <c r="G45" s="13"/>
      <c r="H45" s="13"/>
      <c r="I45" s="13"/>
      <c r="J45" s="13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57"/>
      <c r="AB45" s="57"/>
      <c r="AC45" s="56"/>
      <c r="AD45" s="56"/>
      <c r="AE45" s="56"/>
      <c r="AF45" s="56"/>
      <c r="AG45" s="56"/>
      <c r="AH45" s="56"/>
      <c r="AI45" s="10"/>
      <c r="AJ45" s="57"/>
      <c r="AK45" s="57"/>
      <c r="AL45" s="57"/>
      <c r="AM45" s="434"/>
      <c r="AN45" s="10"/>
      <c r="AO45" s="434"/>
      <c r="AP45" s="434"/>
      <c r="AQ45" s="10"/>
      <c r="AR45" s="10"/>
      <c r="AS45" s="10"/>
      <c r="AT45" s="10"/>
      <c r="AU45" s="10"/>
      <c r="AV45" s="10"/>
      <c r="AW45" s="10"/>
      <c r="AX45" s="10"/>
      <c r="AY45" s="35"/>
      <c r="AZ45" s="35"/>
      <c r="BA45" s="35"/>
      <c r="BB45" s="10"/>
      <c r="BC45" s="10"/>
      <c r="BD45" s="10"/>
      <c r="BE45" s="10"/>
      <c r="BF45" s="10"/>
      <c r="BG45" s="58"/>
      <c r="BH45" s="58"/>
      <c r="BI45" s="434"/>
      <c r="BJ45" s="58"/>
      <c r="BK45" s="10"/>
      <c r="BL45" s="10"/>
      <c r="BM45" s="10"/>
      <c r="BN45" s="434"/>
      <c r="BO45" s="10"/>
      <c r="BP45" s="10"/>
      <c r="BQ45" s="10"/>
      <c r="BR45" s="434"/>
      <c r="BS45" s="434"/>
      <c r="BT45" s="58"/>
      <c r="BU45" s="434"/>
      <c r="BV45" s="546"/>
      <c r="BW45" s="566"/>
      <c r="BX45" s="250"/>
      <c r="BY45" s="250"/>
      <c r="BZ45" s="250"/>
      <c r="CA45" s="250"/>
      <c r="CB45" s="250"/>
      <c r="CC45" s="250"/>
      <c r="CD45" s="250"/>
      <c r="CE45" s="250"/>
      <c r="CF45" s="566"/>
    </row>
    <row r="46" spans="1:84" s="157" customFormat="1" ht="21.75" customHeight="1">
      <c r="A46" s="434"/>
      <c r="B46" s="444"/>
      <c r="C46" s="434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9"/>
      <c r="Q46" s="9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35"/>
      <c r="AD46" s="35"/>
      <c r="AE46" s="35"/>
      <c r="AF46" s="35"/>
      <c r="AG46" s="35"/>
      <c r="AH46" s="35"/>
      <c r="AI46" s="10"/>
      <c r="AJ46" s="10"/>
      <c r="AK46" s="10"/>
      <c r="AL46" s="10"/>
      <c r="AM46" s="434"/>
      <c r="AN46" s="10"/>
      <c r="AO46" s="434"/>
      <c r="AP46" s="434"/>
      <c r="AQ46" s="10"/>
      <c r="AR46" s="10"/>
      <c r="AS46" s="10"/>
      <c r="AT46" s="10"/>
      <c r="AU46" s="10"/>
      <c r="AV46" s="10"/>
      <c r="AW46" s="10"/>
      <c r="AX46" s="10"/>
      <c r="AY46" s="35"/>
      <c r="AZ46" s="10"/>
      <c r="BA46" s="35"/>
      <c r="BB46" s="10"/>
      <c r="BC46" s="10"/>
      <c r="BD46" s="10"/>
      <c r="BE46" s="10"/>
      <c r="BF46" s="10"/>
      <c r="BG46" s="58"/>
      <c r="BH46" s="58"/>
      <c r="BI46" s="434"/>
      <c r="BJ46" s="58"/>
      <c r="BK46" s="10"/>
      <c r="BL46" s="10"/>
      <c r="BM46" s="10"/>
      <c r="BN46" s="434"/>
      <c r="BO46" s="10"/>
      <c r="BP46" s="10"/>
      <c r="BQ46" s="10"/>
      <c r="BR46" s="434"/>
      <c r="BS46" s="434"/>
      <c r="BT46" s="58"/>
      <c r="BU46" s="434"/>
      <c r="BV46" s="546"/>
      <c r="BW46" s="566"/>
      <c r="BX46" s="250"/>
      <c r="BY46" s="250"/>
      <c r="BZ46" s="250"/>
      <c r="CA46" s="250"/>
      <c r="CB46" s="250"/>
      <c r="CC46" s="250"/>
      <c r="CD46" s="250"/>
      <c r="CE46" s="250"/>
      <c r="CF46" s="566"/>
    </row>
    <row r="47" spans="1:84" s="157" customFormat="1" ht="13.5" customHeight="1">
      <c r="A47" s="434"/>
      <c r="B47" s="444"/>
      <c r="C47" s="435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9"/>
      <c r="Q47" s="9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35"/>
      <c r="AD47" s="35"/>
      <c r="AE47" s="35"/>
      <c r="AF47" s="35"/>
      <c r="AG47" s="35"/>
      <c r="AH47" s="35"/>
      <c r="AI47" s="10"/>
      <c r="AJ47" s="10"/>
      <c r="AK47" s="10"/>
      <c r="AL47" s="10"/>
      <c r="AM47" s="435"/>
      <c r="AN47" s="10"/>
      <c r="AO47" s="434"/>
      <c r="AP47" s="435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3"/>
      <c r="BH47" s="13"/>
      <c r="BI47" s="435"/>
      <c r="BJ47" s="13"/>
      <c r="BK47" s="10"/>
      <c r="BL47" s="10"/>
      <c r="BM47" s="10"/>
      <c r="BN47" s="435"/>
      <c r="BO47" s="10"/>
      <c r="BP47" s="10"/>
      <c r="BQ47" s="10"/>
      <c r="BR47" s="435"/>
      <c r="BS47" s="435"/>
      <c r="BT47" s="13"/>
      <c r="BU47" s="435"/>
      <c r="BV47" s="564"/>
      <c r="BW47" s="567"/>
      <c r="BX47" s="251"/>
      <c r="BY47" s="251"/>
      <c r="BZ47" s="251"/>
      <c r="CA47" s="251"/>
      <c r="CB47" s="251"/>
      <c r="CC47" s="251"/>
      <c r="CD47" s="251"/>
      <c r="CE47" s="251"/>
      <c r="CF47" s="567"/>
    </row>
    <row r="48" spans="1:84" s="116" customFormat="1" ht="9.75">
      <c r="A48" s="428">
        <v>11</v>
      </c>
      <c r="B48" s="503" t="s">
        <v>103</v>
      </c>
      <c r="C48" s="428">
        <v>3579.7</v>
      </c>
      <c r="D48" s="61"/>
      <c r="E48" s="61"/>
      <c r="F48" s="61"/>
      <c r="G48" s="61"/>
      <c r="H48" s="61"/>
      <c r="I48" s="61"/>
      <c r="J48" s="61"/>
      <c r="K48" s="89" t="s">
        <v>339</v>
      </c>
      <c r="L48" s="61">
        <v>13</v>
      </c>
      <c r="M48" s="61"/>
      <c r="N48" s="61"/>
      <c r="O48" s="89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89"/>
      <c r="AJ48" s="89"/>
      <c r="AK48" s="61"/>
      <c r="AL48" s="61"/>
      <c r="AM48" s="457"/>
      <c r="AN48" s="61"/>
      <c r="AO48" s="457" t="s">
        <v>248</v>
      </c>
      <c r="AP48" s="428"/>
      <c r="AQ48" s="61"/>
      <c r="AR48" s="61"/>
      <c r="AS48" s="61"/>
      <c r="AT48" s="61"/>
      <c r="AU48" s="61"/>
      <c r="AV48" s="89" t="s">
        <v>211</v>
      </c>
      <c r="AW48" s="89" t="s">
        <v>201</v>
      </c>
      <c r="AX48" s="61">
        <v>3.5</v>
      </c>
      <c r="AY48" s="89" t="s">
        <v>199</v>
      </c>
      <c r="AZ48" s="61">
        <v>8</v>
      </c>
      <c r="BA48" s="89" t="s">
        <v>377</v>
      </c>
      <c r="BB48" s="61"/>
      <c r="BC48" s="61"/>
      <c r="BD48" s="61"/>
      <c r="BE48" s="61"/>
      <c r="BF48" s="61"/>
      <c r="BG48" s="71"/>
      <c r="BH48" s="71"/>
      <c r="BI48" s="428"/>
      <c r="BJ48" s="71"/>
      <c r="BK48" s="61"/>
      <c r="BL48" s="61"/>
      <c r="BM48" s="124"/>
      <c r="BN48" s="457" t="s">
        <v>248</v>
      </c>
      <c r="BO48" s="61"/>
      <c r="BP48" s="61"/>
      <c r="BQ48" s="61"/>
      <c r="BR48" s="428"/>
      <c r="BS48" s="457" t="s">
        <v>248</v>
      </c>
      <c r="BT48" s="71"/>
      <c r="BU48" s="71"/>
      <c r="BV48" s="539"/>
      <c r="BW48" s="561"/>
      <c r="BX48" s="305"/>
      <c r="BY48" s="305"/>
      <c r="BZ48" s="317"/>
      <c r="CA48" s="246"/>
      <c r="CB48" s="366"/>
      <c r="CC48" s="394"/>
      <c r="CD48" s="305"/>
      <c r="CE48" s="394"/>
      <c r="CF48" s="561"/>
    </row>
    <row r="49" spans="1:84" s="116" customFormat="1" ht="9.75">
      <c r="A49" s="432"/>
      <c r="B49" s="504"/>
      <c r="C49" s="432"/>
      <c r="D49" s="61"/>
      <c r="E49" s="61"/>
      <c r="F49" s="61"/>
      <c r="G49" s="61"/>
      <c r="H49" s="61"/>
      <c r="I49" s="61"/>
      <c r="J49" s="61"/>
      <c r="K49" s="89" t="s">
        <v>395</v>
      </c>
      <c r="L49" s="61">
        <v>21.5</v>
      </c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432"/>
      <c r="AN49" s="61"/>
      <c r="AO49" s="432"/>
      <c r="AP49" s="432"/>
      <c r="AQ49" s="61"/>
      <c r="AR49" s="61"/>
      <c r="AS49" s="61"/>
      <c r="AT49" s="61"/>
      <c r="AU49" s="61"/>
      <c r="AV49" s="89" t="s">
        <v>211</v>
      </c>
      <c r="AW49" s="89" t="s">
        <v>199</v>
      </c>
      <c r="AX49" s="61">
        <v>16</v>
      </c>
      <c r="AY49" s="61"/>
      <c r="AZ49" s="61"/>
      <c r="BA49" s="61"/>
      <c r="BB49" s="61"/>
      <c r="BC49" s="61"/>
      <c r="BD49" s="61"/>
      <c r="BE49" s="61"/>
      <c r="BF49" s="61"/>
      <c r="BG49" s="272"/>
      <c r="BH49" s="272"/>
      <c r="BI49" s="432"/>
      <c r="BJ49" s="296"/>
      <c r="BK49" s="61"/>
      <c r="BL49" s="61"/>
      <c r="BM49" s="124"/>
      <c r="BN49" s="432"/>
      <c r="BO49" s="61"/>
      <c r="BP49" s="61"/>
      <c r="BQ49" s="61"/>
      <c r="BR49" s="432"/>
      <c r="BS49" s="432"/>
      <c r="BT49" s="272"/>
      <c r="BU49" s="272"/>
      <c r="BV49" s="547"/>
      <c r="BW49" s="562"/>
      <c r="BX49" s="307"/>
      <c r="BY49" s="307"/>
      <c r="BZ49" s="318"/>
      <c r="CA49" s="247"/>
      <c r="CB49" s="368"/>
      <c r="CC49" s="396"/>
      <c r="CD49" s="307"/>
      <c r="CE49" s="396"/>
      <c r="CF49" s="562"/>
    </row>
    <row r="50" spans="1:84" s="116" customFormat="1" ht="9.75">
      <c r="A50" s="432"/>
      <c r="B50" s="504"/>
      <c r="C50" s="432"/>
      <c r="D50" s="61"/>
      <c r="E50" s="61"/>
      <c r="F50" s="61"/>
      <c r="G50" s="61"/>
      <c r="H50" s="61"/>
      <c r="I50" s="61"/>
      <c r="J50" s="61"/>
      <c r="K50" s="89" t="s">
        <v>239</v>
      </c>
      <c r="L50" s="61">
        <v>24</v>
      </c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432"/>
      <c r="AN50" s="61"/>
      <c r="AO50" s="432"/>
      <c r="AP50" s="432"/>
      <c r="AQ50" s="61"/>
      <c r="AR50" s="61"/>
      <c r="AS50" s="61"/>
      <c r="AT50" s="61"/>
      <c r="AU50" s="61"/>
      <c r="AV50" s="89" t="s">
        <v>212</v>
      </c>
      <c r="AW50" s="89" t="s">
        <v>201</v>
      </c>
      <c r="AX50" s="61">
        <v>3</v>
      </c>
      <c r="AY50" s="61"/>
      <c r="AZ50" s="61"/>
      <c r="BA50" s="61"/>
      <c r="BB50" s="61"/>
      <c r="BC50" s="61"/>
      <c r="BD50" s="61"/>
      <c r="BE50" s="61"/>
      <c r="BF50" s="61"/>
      <c r="BG50" s="272"/>
      <c r="BH50" s="272"/>
      <c r="BI50" s="432"/>
      <c r="BJ50" s="296"/>
      <c r="BK50" s="61"/>
      <c r="BL50" s="61"/>
      <c r="BM50" s="124"/>
      <c r="BN50" s="432"/>
      <c r="BO50" s="61"/>
      <c r="BP50" s="61"/>
      <c r="BQ50" s="61"/>
      <c r="BR50" s="432"/>
      <c r="BS50" s="432"/>
      <c r="BT50" s="272"/>
      <c r="BU50" s="272"/>
      <c r="BV50" s="547"/>
      <c r="BW50" s="562"/>
      <c r="BX50" s="307"/>
      <c r="BY50" s="307"/>
      <c r="BZ50" s="318"/>
      <c r="CA50" s="277"/>
      <c r="CB50" s="368"/>
      <c r="CC50" s="396"/>
      <c r="CD50" s="307"/>
      <c r="CE50" s="396"/>
      <c r="CF50" s="562"/>
    </row>
    <row r="51" spans="1:84" s="116" customFormat="1" ht="9.75">
      <c r="A51" s="432"/>
      <c r="B51" s="504"/>
      <c r="C51" s="432"/>
      <c r="D51" s="61"/>
      <c r="E51" s="61"/>
      <c r="F51" s="61"/>
      <c r="G51" s="61"/>
      <c r="H51" s="61"/>
      <c r="I51" s="61"/>
      <c r="J51" s="61"/>
      <c r="K51" s="89" t="s">
        <v>312</v>
      </c>
      <c r="L51" s="61">
        <v>13.5</v>
      </c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432"/>
      <c r="AN51" s="61"/>
      <c r="AO51" s="432"/>
      <c r="AP51" s="432"/>
      <c r="AQ51" s="61"/>
      <c r="AR51" s="61"/>
      <c r="AS51" s="61"/>
      <c r="AT51" s="61"/>
      <c r="AU51" s="61"/>
      <c r="AV51" s="89"/>
      <c r="AW51" s="89"/>
      <c r="AX51" s="61"/>
      <c r="AY51" s="61"/>
      <c r="AZ51" s="61"/>
      <c r="BA51" s="61"/>
      <c r="BB51" s="61"/>
      <c r="BC51" s="61"/>
      <c r="BD51" s="61"/>
      <c r="BE51" s="61"/>
      <c r="BF51" s="61"/>
      <c r="BG51" s="272"/>
      <c r="BH51" s="272"/>
      <c r="BI51" s="432"/>
      <c r="BJ51" s="374"/>
      <c r="BK51" s="61"/>
      <c r="BL51" s="61"/>
      <c r="BM51" s="124"/>
      <c r="BN51" s="432"/>
      <c r="BO51" s="61"/>
      <c r="BP51" s="61"/>
      <c r="BQ51" s="61"/>
      <c r="BR51" s="432"/>
      <c r="BS51" s="432"/>
      <c r="BT51" s="272"/>
      <c r="BU51" s="272"/>
      <c r="BV51" s="547"/>
      <c r="BW51" s="562"/>
      <c r="BX51" s="396"/>
      <c r="BY51" s="396"/>
      <c r="BZ51" s="396"/>
      <c r="CA51" s="396"/>
      <c r="CB51" s="396"/>
      <c r="CC51" s="396"/>
      <c r="CD51" s="396"/>
      <c r="CE51" s="396"/>
      <c r="CF51" s="562"/>
    </row>
    <row r="52" spans="1:84" s="116" customFormat="1" ht="9.75">
      <c r="A52" s="432"/>
      <c r="B52" s="504"/>
      <c r="C52" s="432"/>
      <c r="D52" s="61"/>
      <c r="E52" s="61"/>
      <c r="F52" s="61"/>
      <c r="G52" s="61"/>
      <c r="H52" s="61"/>
      <c r="I52" s="61"/>
      <c r="J52" s="61"/>
      <c r="K52" s="89" t="s">
        <v>393</v>
      </c>
      <c r="L52" s="61">
        <v>6.5</v>
      </c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432"/>
      <c r="AN52" s="61"/>
      <c r="AO52" s="432"/>
      <c r="AP52" s="432"/>
      <c r="AQ52" s="61"/>
      <c r="AR52" s="61"/>
      <c r="AS52" s="61"/>
      <c r="AT52" s="61"/>
      <c r="AU52" s="61"/>
      <c r="AV52" s="89"/>
      <c r="AW52" s="89"/>
      <c r="AX52" s="61"/>
      <c r="AY52" s="61"/>
      <c r="AZ52" s="61"/>
      <c r="BA52" s="61"/>
      <c r="BB52" s="61"/>
      <c r="BC52" s="61"/>
      <c r="BD52" s="61"/>
      <c r="BE52" s="61"/>
      <c r="BF52" s="61"/>
      <c r="BG52" s="272"/>
      <c r="BH52" s="272"/>
      <c r="BI52" s="432"/>
      <c r="BJ52" s="374"/>
      <c r="BK52" s="61"/>
      <c r="BL52" s="61"/>
      <c r="BM52" s="124"/>
      <c r="BN52" s="432"/>
      <c r="BO52" s="61"/>
      <c r="BP52" s="61"/>
      <c r="BQ52" s="61"/>
      <c r="BR52" s="432"/>
      <c r="BS52" s="432"/>
      <c r="BT52" s="272"/>
      <c r="BU52" s="272"/>
      <c r="BV52" s="547"/>
      <c r="BW52" s="562"/>
      <c r="BX52" s="396"/>
      <c r="BY52" s="396"/>
      <c r="BZ52" s="396"/>
      <c r="CA52" s="396"/>
      <c r="CB52" s="396"/>
      <c r="CC52" s="396"/>
      <c r="CD52" s="396"/>
      <c r="CE52" s="396"/>
      <c r="CF52" s="562"/>
    </row>
    <row r="53" spans="1:84" s="116" customFormat="1" ht="33.75" customHeight="1">
      <c r="A53" s="432"/>
      <c r="B53" s="504"/>
      <c r="C53" s="429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429"/>
      <c r="AN53" s="61"/>
      <c r="AO53" s="595"/>
      <c r="AP53" s="429"/>
      <c r="AQ53" s="61"/>
      <c r="AR53" s="61"/>
      <c r="AS53" s="61"/>
      <c r="AT53" s="61"/>
      <c r="AU53" s="61"/>
      <c r="AV53" s="61"/>
      <c r="AW53" s="61"/>
      <c r="AX53" s="61"/>
      <c r="AY53" s="89"/>
      <c r="AZ53" s="89"/>
      <c r="BA53" s="89"/>
      <c r="BB53" s="61"/>
      <c r="BC53" s="61"/>
      <c r="BD53" s="61"/>
      <c r="BE53" s="61"/>
      <c r="BF53" s="61"/>
      <c r="BG53" s="72"/>
      <c r="BH53" s="72"/>
      <c r="BI53" s="429"/>
      <c r="BJ53" s="297"/>
      <c r="BK53" s="61"/>
      <c r="BL53" s="61"/>
      <c r="BM53" s="124"/>
      <c r="BN53" s="429"/>
      <c r="BO53" s="61"/>
      <c r="BP53" s="61"/>
      <c r="BQ53" s="61"/>
      <c r="BR53" s="429"/>
      <c r="BS53" s="429"/>
      <c r="BT53" s="72"/>
      <c r="BU53" s="72"/>
      <c r="BV53" s="576"/>
      <c r="BW53" s="563"/>
      <c r="BX53" s="306"/>
      <c r="BY53" s="306"/>
      <c r="BZ53" s="319"/>
      <c r="CA53" s="248"/>
      <c r="CB53" s="367"/>
      <c r="CC53" s="395"/>
      <c r="CD53" s="306"/>
      <c r="CE53" s="395"/>
      <c r="CF53" s="563"/>
    </row>
    <row r="54" spans="1:84" s="157" customFormat="1" ht="24" customHeight="1">
      <c r="A54" s="10">
        <v>12</v>
      </c>
      <c r="B54" s="191" t="s">
        <v>104</v>
      </c>
      <c r="C54" s="10">
        <v>1166.7</v>
      </c>
      <c r="D54" s="10"/>
      <c r="E54" s="10"/>
      <c r="F54" s="57"/>
      <c r="G54" s="10"/>
      <c r="H54" s="10"/>
      <c r="I54" s="10"/>
      <c r="J54" s="10"/>
      <c r="K54" s="10"/>
      <c r="L54" s="10"/>
      <c r="M54" s="10"/>
      <c r="N54" s="10"/>
      <c r="O54" s="35" t="s">
        <v>407</v>
      </c>
      <c r="P54" s="10">
        <v>1.64</v>
      </c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35"/>
      <c r="AN54" s="10"/>
      <c r="AO54" s="35"/>
      <c r="AP54" s="10"/>
      <c r="AQ54" s="10"/>
      <c r="AR54" s="10"/>
      <c r="AS54" s="10"/>
      <c r="AT54" s="10"/>
      <c r="AU54" s="10"/>
      <c r="AV54" s="35" t="s">
        <v>407</v>
      </c>
      <c r="AW54" s="35" t="s">
        <v>197</v>
      </c>
      <c r="AX54" s="10">
        <v>12</v>
      </c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28"/>
      <c r="BN54" s="125" t="s">
        <v>248</v>
      </c>
      <c r="BO54" s="128"/>
      <c r="BP54" s="128"/>
      <c r="BQ54" s="128"/>
      <c r="BR54" s="79"/>
      <c r="BS54" s="79"/>
      <c r="BT54" s="79"/>
      <c r="BU54" s="79"/>
      <c r="BV54" s="93"/>
      <c r="BW54" s="156"/>
      <c r="BX54" s="156"/>
      <c r="BY54" s="156"/>
      <c r="BZ54" s="156"/>
      <c r="CA54" s="156"/>
      <c r="CB54" s="156"/>
      <c r="CC54" s="156"/>
      <c r="CD54" s="156"/>
      <c r="CE54" s="156"/>
      <c r="CF54" s="156"/>
    </row>
    <row r="55" spans="1:84" s="116" customFormat="1" ht="34.5" customHeight="1">
      <c r="A55" s="61">
        <v>13</v>
      </c>
      <c r="B55" s="109" t="s">
        <v>105</v>
      </c>
      <c r="C55" s="61">
        <v>1118.6</v>
      </c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89"/>
      <c r="P55" s="61"/>
      <c r="Q55" s="61"/>
      <c r="R55" s="61"/>
      <c r="S55" s="61"/>
      <c r="T55" s="61"/>
      <c r="U55" s="61"/>
      <c r="V55" s="61"/>
      <c r="W55" s="195"/>
      <c r="X55" s="195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89"/>
      <c r="AN55" s="61"/>
      <c r="AO55" s="89"/>
      <c r="AP55" s="61"/>
      <c r="AQ55" s="61"/>
      <c r="AR55" s="61"/>
      <c r="AS55" s="61"/>
      <c r="AT55" s="61"/>
      <c r="AU55" s="89"/>
      <c r="AV55" s="61"/>
      <c r="AW55" s="61"/>
      <c r="AX55" s="61"/>
      <c r="AY55" s="89"/>
      <c r="AZ55" s="89"/>
      <c r="BA55" s="89"/>
      <c r="BB55" s="61"/>
      <c r="BC55" s="61"/>
      <c r="BD55" s="61"/>
      <c r="BE55" s="61"/>
      <c r="BF55" s="61"/>
      <c r="BG55" s="61"/>
      <c r="BH55" s="61"/>
      <c r="BI55" s="61"/>
      <c r="BJ55" s="61"/>
      <c r="BK55" s="89"/>
      <c r="BL55" s="61"/>
      <c r="BM55" s="130"/>
      <c r="BN55" s="130" t="s">
        <v>248</v>
      </c>
      <c r="BO55" s="124"/>
      <c r="BP55" s="124"/>
      <c r="BQ55" s="124"/>
      <c r="BR55" s="151"/>
      <c r="BS55" s="151"/>
      <c r="BT55" s="151"/>
      <c r="BU55" s="151"/>
      <c r="BV55" s="103"/>
      <c r="BW55" s="154"/>
      <c r="BX55" s="154"/>
      <c r="BY55" s="154"/>
      <c r="BZ55" s="154"/>
      <c r="CA55" s="154"/>
      <c r="CB55" s="154"/>
      <c r="CC55" s="154"/>
      <c r="CD55" s="154"/>
      <c r="CE55" s="154"/>
      <c r="CF55" s="154"/>
    </row>
    <row r="56" spans="1:84" s="157" customFormat="1" ht="12.75" customHeight="1">
      <c r="A56" s="433">
        <v>14</v>
      </c>
      <c r="B56" s="443" t="s">
        <v>106</v>
      </c>
      <c r="C56" s="433">
        <v>5087.9</v>
      </c>
      <c r="D56" s="10"/>
      <c r="E56" s="10"/>
      <c r="F56" s="10"/>
      <c r="G56" s="10"/>
      <c r="H56" s="10"/>
      <c r="I56" s="10"/>
      <c r="J56" s="10"/>
      <c r="K56" s="35" t="s">
        <v>340</v>
      </c>
      <c r="L56" s="10">
        <v>9</v>
      </c>
      <c r="M56" s="10"/>
      <c r="N56" s="10"/>
      <c r="O56" s="35"/>
      <c r="P56" s="10"/>
      <c r="Q56" s="10"/>
      <c r="R56" s="10"/>
      <c r="S56" s="10"/>
      <c r="T56" s="10"/>
      <c r="U56" s="10"/>
      <c r="V56" s="10"/>
      <c r="W56" s="35"/>
      <c r="X56" s="10"/>
      <c r="Y56" s="10"/>
      <c r="Z56" s="10"/>
      <c r="AA56" s="10"/>
      <c r="AB56" s="10"/>
      <c r="AC56" s="10"/>
      <c r="AD56" s="10"/>
      <c r="AE56" s="10"/>
      <c r="AF56" s="10"/>
      <c r="AG56" s="10">
        <v>1</v>
      </c>
      <c r="AH56" s="35" t="s">
        <v>315</v>
      </c>
      <c r="AI56" s="10"/>
      <c r="AJ56" s="10"/>
      <c r="AK56" s="10">
        <v>4.5</v>
      </c>
      <c r="AL56" s="35" t="s">
        <v>341</v>
      </c>
      <c r="AM56" s="541"/>
      <c r="AN56" s="10"/>
      <c r="AO56" s="469" t="s">
        <v>248</v>
      </c>
      <c r="AP56" s="433"/>
      <c r="AQ56" s="10"/>
      <c r="AR56" s="10"/>
      <c r="AS56" s="10"/>
      <c r="AT56" s="10"/>
      <c r="AU56" s="10"/>
      <c r="AV56" s="35" t="s">
        <v>202</v>
      </c>
      <c r="AW56" s="35" t="s">
        <v>201</v>
      </c>
      <c r="AX56" s="10">
        <v>8</v>
      </c>
      <c r="AY56" s="35" t="s">
        <v>199</v>
      </c>
      <c r="AZ56" s="10">
        <v>18</v>
      </c>
      <c r="BA56" s="35" t="s">
        <v>227</v>
      </c>
      <c r="BB56" s="156"/>
      <c r="BC56" s="156"/>
      <c r="BD56" s="156"/>
      <c r="BE56" s="156"/>
      <c r="BF56" s="156"/>
      <c r="BG56" s="399"/>
      <c r="BH56" s="399"/>
      <c r="BI56" s="469"/>
      <c r="BJ56" s="56"/>
      <c r="BK56" s="10"/>
      <c r="BL56" s="10"/>
      <c r="BM56" s="128"/>
      <c r="BN56" s="469" t="s">
        <v>248</v>
      </c>
      <c r="BO56" s="128"/>
      <c r="BP56" s="128"/>
      <c r="BQ56" s="128"/>
      <c r="BR56" s="433"/>
      <c r="BS56" s="469" t="s">
        <v>248</v>
      </c>
      <c r="BT56" s="57"/>
      <c r="BU56" s="57"/>
      <c r="BV56" s="541"/>
      <c r="BW56" s="565"/>
      <c r="BX56" s="249"/>
      <c r="BY56" s="249"/>
      <c r="BZ56" s="249"/>
      <c r="CA56" s="249"/>
      <c r="CB56" s="249"/>
      <c r="CC56" s="249"/>
      <c r="CD56" s="249"/>
      <c r="CE56" s="249"/>
      <c r="CF56" s="565"/>
    </row>
    <row r="57" spans="1:84" s="157" customFormat="1" ht="36.75" customHeight="1">
      <c r="A57" s="434"/>
      <c r="B57" s="444"/>
      <c r="C57" s="434"/>
      <c r="D57" s="35"/>
      <c r="E57" s="10"/>
      <c r="F57" s="10"/>
      <c r="G57" s="10"/>
      <c r="H57" s="10"/>
      <c r="I57" s="10"/>
      <c r="J57" s="10"/>
      <c r="K57" s="35" t="s">
        <v>341</v>
      </c>
      <c r="L57" s="10">
        <v>31.5</v>
      </c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9"/>
      <c r="AD57" s="9"/>
      <c r="AE57" s="9"/>
      <c r="AF57" s="9"/>
      <c r="AG57" s="9"/>
      <c r="AH57" s="9"/>
      <c r="AI57" s="35"/>
      <c r="AJ57" s="35"/>
      <c r="AK57" s="10">
        <v>4.5</v>
      </c>
      <c r="AL57" s="35" t="s">
        <v>342</v>
      </c>
      <c r="AM57" s="546"/>
      <c r="AN57" s="10"/>
      <c r="AO57" s="434"/>
      <c r="AP57" s="434"/>
      <c r="AQ57" s="10"/>
      <c r="AR57" s="10"/>
      <c r="AS57" s="10"/>
      <c r="AT57" s="10"/>
      <c r="AU57" s="10"/>
      <c r="AV57" s="10"/>
      <c r="AW57" s="10"/>
      <c r="AX57" s="10"/>
      <c r="AY57" s="35" t="s">
        <v>201</v>
      </c>
      <c r="AZ57" s="10">
        <v>4</v>
      </c>
      <c r="BA57" s="35" t="s">
        <v>238</v>
      </c>
      <c r="BB57" s="156"/>
      <c r="BC57" s="156"/>
      <c r="BD57" s="156"/>
      <c r="BE57" s="156"/>
      <c r="BF57" s="156"/>
      <c r="BG57" s="400"/>
      <c r="BH57" s="400"/>
      <c r="BI57" s="434"/>
      <c r="BJ57" s="58"/>
      <c r="BK57" s="10"/>
      <c r="BL57" s="10"/>
      <c r="BM57" s="128"/>
      <c r="BN57" s="434"/>
      <c r="BO57" s="128"/>
      <c r="BP57" s="128"/>
      <c r="BQ57" s="128"/>
      <c r="BR57" s="434"/>
      <c r="BS57" s="434"/>
      <c r="BT57" s="58"/>
      <c r="BU57" s="58"/>
      <c r="BV57" s="546"/>
      <c r="BW57" s="566"/>
      <c r="BX57" s="250"/>
      <c r="BY57" s="250"/>
      <c r="BZ57" s="250"/>
      <c r="CA57" s="250"/>
      <c r="CB57" s="250"/>
      <c r="CC57" s="250"/>
      <c r="CD57" s="250"/>
      <c r="CE57" s="250"/>
      <c r="CF57" s="566"/>
    </row>
    <row r="58" spans="1:84" s="157" customFormat="1" ht="12" customHeight="1">
      <c r="A58" s="434"/>
      <c r="B58" s="444"/>
      <c r="C58" s="434"/>
      <c r="D58" s="10"/>
      <c r="E58" s="10"/>
      <c r="F58" s="10"/>
      <c r="G58" s="10"/>
      <c r="H58" s="10"/>
      <c r="I58" s="10"/>
      <c r="J58" s="10"/>
      <c r="K58" s="35" t="s">
        <v>342</v>
      </c>
      <c r="L58" s="10">
        <v>6.5</v>
      </c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35"/>
      <c r="X58" s="10"/>
      <c r="Y58" s="10"/>
      <c r="Z58" s="10"/>
      <c r="AA58" s="10"/>
      <c r="AB58" s="10"/>
      <c r="AC58" s="9"/>
      <c r="AD58" s="9"/>
      <c r="AE58" s="9"/>
      <c r="AF58" s="9"/>
      <c r="AG58" s="9"/>
      <c r="AH58" s="9"/>
      <c r="AI58" s="35"/>
      <c r="AJ58" s="35"/>
      <c r="AK58" s="10"/>
      <c r="AL58" s="10"/>
      <c r="AM58" s="546"/>
      <c r="AN58" s="10"/>
      <c r="AO58" s="434"/>
      <c r="AP58" s="434"/>
      <c r="AQ58" s="10"/>
      <c r="AR58" s="10"/>
      <c r="AS58" s="10"/>
      <c r="AT58" s="10"/>
      <c r="AU58" s="10"/>
      <c r="AV58" s="10"/>
      <c r="AW58" s="10"/>
      <c r="AX58" s="10"/>
      <c r="AY58" s="35" t="s">
        <v>199</v>
      </c>
      <c r="AZ58" s="10">
        <v>30</v>
      </c>
      <c r="BA58" s="35" t="s">
        <v>238</v>
      </c>
      <c r="BB58" s="10"/>
      <c r="BC58" s="10"/>
      <c r="BD58" s="10"/>
      <c r="BE58" s="10"/>
      <c r="BF58" s="10"/>
      <c r="BG58" s="58"/>
      <c r="BH58" s="58"/>
      <c r="BI58" s="434"/>
      <c r="BJ58" s="58"/>
      <c r="BK58" s="10"/>
      <c r="BL58" s="10"/>
      <c r="BM58" s="128"/>
      <c r="BN58" s="434"/>
      <c r="BO58" s="128"/>
      <c r="BP58" s="128"/>
      <c r="BQ58" s="128"/>
      <c r="BR58" s="434"/>
      <c r="BS58" s="434"/>
      <c r="BT58" s="58"/>
      <c r="BU58" s="58"/>
      <c r="BV58" s="546"/>
      <c r="BW58" s="566"/>
      <c r="BX58" s="250"/>
      <c r="BY58" s="250"/>
      <c r="BZ58" s="250"/>
      <c r="CA58" s="250"/>
      <c r="CB58" s="250"/>
      <c r="CC58" s="250"/>
      <c r="CD58" s="250"/>
      <c r="CE58" s="250"/>
      <c r="CF58" s="566"/>
    </row>
    <row r="59" spans="1:84" s="157" customFormat="1" ht="12" customHeight="1">
      <c r="A59" s="434"/>
      <c r="B59" s="444"/>
      <c r="C59" s="434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35"/>
      <c r="X59" s="10"/>
      <c r="Y59" s="10"/>
      <c r="Z59" s="10"/>
      <c r="AA59" s="10"/>
      <c r="AB59" s="10"/>
      <c r="AC59" s="9"/>
      <c r="AD59" s="9"/>
      <c r="AE59" s="9"/>
      <c r="AF59" s="9"/>
      <c r="AG59" s="9"/>
      <c r="AH59" s="9"/>
      <c r="AI59" s="35"/>
      <c r="AJ59" s="35"/>
      <c r="AK59" s="10"/>
      <c r="AL59" s="10"/>
      <c r="AM59" s="546"/>
      <c r="AN59" s="10"/>
      <c r="AO59" s="434"/>
      <c r="AP59" s="434"/>
      <c r="AQ59" s="10"/>
      <c r="AR59" s="10"/>
      <c r="AS59" s="10"/>
      <c r="AT59" s="10"/>
      <c r="AU59" s="10"/>
      <c r="AV59" s="10"/>
      <c r="AW59" s="10"/>
      <c r="AX59" s="10"/>
      <c r="AY59" s="35" t="s">
        <v>278</v>
      </c>
      <c r="AZ59" s="10">
        <v>1</v>
      </c>
      <c r="BA59" s="35" t="s">
        <v>279</v>
      </c>
      <c r="BB59" s="10"/>
      <c r="BC59" s="10"/>
      <c r="BD59" s="10"/>
      <c r="BE59" s="10"/>
      <c r="BF59" s="10"/>
      <c r="BG59" s="58"/>
      <c r="BH59" s="58"/>
      <c r="BI59" s="434"/>
      <c r="BJ59" s="58"/>
      <c r="BK59" s="10"/>
      <c r="BL59" s="10"/>
      <c r="BM59" s="128"/>
      <c r="BN59" s="434"/>
      <c r="BO59" s="128"/>
      <c r="BP59" s="128"/>
      <c r="BQ59" s="128"/>
      <c r="BR59" s="434"/>
      <c r="BS59" s="434"/>
      <c r="BT59" s="58"/>
      <c r="BU59" s="58"/>
      <c r="BV59" s="546"/>
      <c r="BW59" s="566"/>
      <c r="BX59" s="250"/>
      <c r="BY59" s="250"/>
      <c r="BZ59" s="250"/>
      <c r="CA59" s="250"/>
      <c r="CB59" s="250"/>
      <c r="CC59" s="250"/>
      <c r="CD59" s="250"/>
      <c r="CE59" s="250"/>
      <c r="CF59" s="566"/>
    </row>
    <row r="60" spans="1:84" s="157" customFormat="1" ht="12" customHeight="1">
      <c r="A60" s="434"/>
      <c r="B60" s="444"/>
      <c r="C60" s="434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35"/>
      <c r="X60" s="10"/>
      <c r="Y60" s="10"/>
      <c r="Z60" s="10"/>
      <c r="AA60" s="10"/>
      <c r="AB60" s="10"/>
      <c r="AC60" s="9"/>
      <c r="AD60" s="9"/>
      <c r="AE60" s="9"/>
      <c r="AF60" s="9"/>
      <c r="AG60" s="9"/>
      <c r="AH60" s="9"/>
      <c r="AI60" s="35"/>
      <c r="AJ60" s="35"/>
      <c r="AK60" s="10"/>
      <c r="AL60" s="10"/>
      <c r="AM60" s="546"/>
      <c r="AN60" s="10"/>
      <c r="AO60" s="434"/>
      <c r="AP60" s="434"/>
      <c r="AQ60" s="10"/>
      <c r="AR60" s="10"/>
      <c r="AS60" s="10"/>
      <c r="AT60" s="10"/>
      <c r="AU60" s="10"/>
      <c r="AV60" s="10"/>
      <c r="AW60" s="10"/>
      <c r="AX60" s="10"/>
      <c r="AY60" s="35" t="s">
        <v>199</v>
      </c>
      <c r="AZ60" s="10">
        <v>12</v>
      </c>
      <c r="BA60" s="35" t="s">
        <v>279</v>
      </c>
      <c r="BB60" s="10"/>
      <c r="BC60" s="10"/>
      <c r="BD60" s="10"/>
      <c r="BE60" s="10"/>
      <c r="BF60" s="10"/>
      <c r="BG60" s="58"/>
      <c r="BH60" s="58"/>
      <c r="BI60" s="434"/>
      <c r="BJ60" s="58"/>
      <c r="BK60" s="10"/>
      <c r="BL60" s="10"/>
      <c r="BM60" s="128"/>
      <c r="BN60" s="434"/>
      <c r="BO60" s="128"/>
      <c r="BP60" s="128"/>
      <c r="BQ60" s="128"/>
      <c r="BR60" s="434"/>
      <c r="BS60" s="434"/>
      <c r="BT60" s="58"/>
      <c r="BU60" s="58"/>
      <c r="BV60" s="546"/>
      <c r="BW60" s="566"/>
      <c r="BX60" s="250"/>
      <c r="BY60" s="250"/>
      <c r="BZ60" s="250"/>
      <c r="CA60" s="250"/>
      <c r="CB60" s="250"/>
      <c r="CC60" s="250"/>
      <c r="CD60" s="250"/>
      <c r="CE60" s="250"/>
      <c r="CF60" s="566"/>
    </row>
    <row r="61" spans="1:84" s="157" customFormat="1" ht="12" customHeight="1">
      <c r="A61" s="434"/>
      <c r="B61" s="444"/>
      <c r="C61" s="434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35"/>
      <c r="X61" s="10"/>
      <c r="Y61" s="10"/>
      <c r="Z61" s="10"/>
      <c r="AA61" s="10"/>
      <c r="AB61" s="10"/>
      <c r="AC61" s="9"/>
      <c r="AD61" s="9"/>
      <c r="AE61" s="9"/>
      <c r="AF61" s="9"/>
      <c r="AG61" s="9"/>
      <c r="AH61" s="9"/>
      <c r="AI61" s="35"/>
      <c r="AJ61" s="35"/>
      <c r="AK61" s="10"/>
      <c r="AL61" s="10"/>
      <c r="AM61" s="546"/>
      <c r="AN61" s="10"/>
      <c r="AO61" s="434"/>
      <c r="AP61" s="434"/>
      <c r="AQ61" s="10"/>
      <c r="AR61" s="10"/>
      <c r="AS61" s="10"/>
      <c r="AT61" s="10"/>
      <c r="AU61" s="10"/>
      <c r="AV61" s="10"/>
      <c r="AW61" s="10"/>
      <c r="AX61" s="10"/>
      <c r="AY61" s="35"/>
      <c r="AZ61" s="10"/>
      <c r="BA61" s="35" t="s">
        <v>280</v>
      </c>
      <c r="BB61" s="10"/>
      <c r="BC61" s="10"/>
      <c r="BD61" s="10"/>
      <c r="BE61" s="10"/>
      <c r="BF61" s="10"/>
      <c r="BG61" s="58"/>
      <c r="BH61" s="58"/>
      <c r="BI61" s="434"/>
      <c r="BJ61" s="58"/>
      <c r="BK61" s="10"/>
      <c r="BL61" s="10"/>
      <c r="BM61" s="128"/>
      <c r="BN61" s="434"/>
      <c r="BO61" s="128"/>
      <c r="BP61" s="128"/>
      <c r="BQ61" s="128"/>
      <c r="BR61" s="434"/>
      <c r="BS61" s="434"/>
      <c r="BT61" s="58"/>
      <c r="BU61" s="58"/>
      <c r="BV61" s="546"/>
      <c r="BW61" s="566"/>
      <c r="BX61" s="250"/>
      <c r="BY61" s="250"/>
      <c r="BZ61" s="250"/>
      <c r="CA61" s="250"/>
      <c r="CB61" s="250"/>
      <c r="CC61" s="250"/>
      <c r="CD61" s="250"/>
      <c r="CE61" s="250"/>
      <c r="CF61" s="566"/>
    </row>
    <row r="62" spans="1:84" s="157" customFormat="1" ht="25.5" customHeight="1">
      <c r="A62" s="434"/>
      <c r="B62" s="444"/>
      <c r="C62" s="435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9"/>
      <c r="AD62" s="9"/>
      <c r="AE62" s="9"/>
      <c r="AF62" s="9"/>
      <c r="AG62" s="9"/>
      <c r="AH62" s="9"/>
      <c r="AI62" s="35"/>
      <c r="AJ62" s="35"/>
      <c r="AK62" s="10"/>
      <c r="AL62" s="10"/>
      <c r="AM62" s="564"/>
      <c r="AN62" s="10"/>
      <c r="AO62" s="434"/>
      <c r="AP62" s="435"/>
      <c r="AQ62" s="10"/>
      <c r="AR62" s="10"/>
      <c r="AS62" s="10"/>
      <c r="AT62" s="10"/>
      <c r="AU62" s="10"/>
      <c r="AV62" s="10"/>
      <c r="AW62" s="10"/>
      <c r="AX62" s="10"/>
      <c r="AY62" s="35"/>
      <c r="AZ62" s="35"/>
      <c r="BA62" s="35"/>
      <c r="BB62" s="10"/>
      <c r="BC62" s="10"/>
      <c r="BD62" s="10"/>
      <c r="BE62" s="10"/>
      <c r="BF62" s="10"/>
      <c r="BG62" s="13"/>
      <c r="BH62" s="13"/>
      <c r="BI62" s="435"/>
      <c r="BJ62" s="13"/>
      <c r="BK62" s="35"/>
      <c r="BL62" s="10"/>
      <c r="BM62" s="128"/>
      <c r="BN62" s="435"/>
      <c r="BO62" s="128"/>
      <c r="BP62" s="128"/>
      <c r="BQ62" s="128"/>
      <c r="BR62" s="435"/>
      <c r="BS62" s="435"/>
      <c r="BT62" s="13"/>
      <c r="BU62" s="13"/>
      <c r="BV62" s="564"/>
      <c r="BW62" s="567"/>
      <c r="BX62" s="251"/>
      <c r="BY62" s="251"/>
      <c r="BZ62" s="251"/>
      <c r="CA62" s="251"/>
      <c r="CB62" s="251"/>
      <c r="CC62" s="251"/>
      <c r="CD62" s="251"/>
      <c r="CE62" s="251"/>
      <c r="CF62" s="567"/>
    </row>
    <row r="63" spans="1:84" s="157" customFormat="1" ht="9.75">
      <c r="A63" s="428">
        <v>15</v>
      </c>
      <c r="B63" s="503" t="s">
        <v>107</v>
      </c>
      <c r="C63" s="428">
        <v>9335.09</v>
      </c>
      <c r="D63" s="61"/>
      <c r="E63" s="61"/>
      <c r="F63" s="61"/>
      <c r="G63" s="195"/>
      <c r="H63" s="195"/>
      <c r="I63" s="195"/>
      <c r="J63" s="195"/>
      <c r="K63" s="241" t="s">
        <v>344</v>
      </c>
      <c r="L63" s="241">
        <v>20</v>
      </c>
      <c r="M63" s="289"/>
      <c r="N63" s="289"/>
      <c r="O63" s="195"/>
      <c r="P63" s="195"/>
      <c r="Q63" s="195"/>
      <c r="R63" s="195"/>
      <c r="S63" s="195"/>
      <c r="T63" s="61"/>
      <c r="U63" s="61"/>
      <c r="V63" s="61"/>
      <c r="W63" s="61"/>
      <c r="X63" s="61"/>
      <c r="Y63" s="72"/>
      <c r="Z63" s="72"/>
      <c r="AA63" s="72"/>
      <c r="AB63" s="72"/>
      <c r="AC63" s="89"/>
      <c r="AD63" s="89"/>
      <c r="AE63" s="89"/>
      <c r="AF63" s="89"/>
      <c r="AG63" s="89"/>
      <c r="AH63" s="89"/>
      <c r="AI63" s="89"/>
      <c r="AJ63" s="89"/>
      <c r="AK63" s="89">
        <v>4.5</v>
      </c>
      <c r="AL63" s="89" t="s">
        <v>343</v>
      </c>
      <c r="AM63" s="457"/>
      <c r="AN63" s="72"/>
      <c r="AO63" s="457" t="s">
        <v>248</v>
      </c>
      <c r="AP63" s="428"/>
      <c r="AQ63" s="61"/>
      <c r="AR63" s="61"/>
      <c r="AS63" s="61"/>
      <c r="AT63" s="61"/>
      <c r="AU63" s="89"/>
      <c r="AV63" s="61"/>
      <c r="AW63" s="61"/>
      <c r="AX63" s="61"/>
      <c r="AY63" s="89" t="s">
        <v>201</v>
      </c>
      <c r="AZ63" s="61">
        <v>16</v>
      </c>
      <c r="BA63" s="89" t="s">
        <v>230</v>
      </c>
      <c r="BB63" s="89" t="s">
        <v>251</v>
      </c>
      <c r="BC63" s="61">
        <v>1</v>
      </c>
      <c r="BD63" s="61"/>
      <c r="BE63" s="61"/>
      <c r="BF63" s="61"/>
      <c r="BG63" s="71"/>
      <c r="BH63" s="71"/>
      <c r="BI63" s="428">
        <v>1</v>
      </c>
      <c r="BJ63" s="71"/>
      <c r="BK63" s="61"/>
      <c r="BL63" s="61"/>
      <c r="BM63" s="124"/>
      <c r="BN63" s="457" t="s">
        <v>248</v>
      </c>
      <c r="BO63" s="124"/>
      <c r="BP63" s="124"/>
      <c r="BQ63" s="124"/>
      <c r="BR63" s="428"/>
      <c r="BS63" s="457" t="s">
        <v>248</v>
      </c>
      <c r="BT63" s="71"/>
      <c r="BU63" s="428">
        <v>1</v>
      </c>
      <c r="BV63" s="574">
        <v>1</v>
      </c>
      <c r="BW63" s="561"/>
      <c r="BX63" s="305"/>
      <c r="BY63" s="305"/>
      <c r="BZ63" s="574" t="s">
        <v>308</v>
      </c>
      <c r="CA63" s="246"/>
      <c r="CB63" s="366"/>
      <c r="CC63" s="394"/>
      <c r="CD63" s="305"/>
      <c r="CE63" s="394"/>
      <c r="CF63" s="561"/>
    </row>
    <row r="64" spans="1:84" s="116" customFormat="1" ht="36" customHeight="1">
      <c r="A64" s="583"/>
      <c r="B64" s="504"/>
      <c r="C64" s="432"/>
      <c r="D64" s="61"/>
      <c r="E64" s="61"/>
      <c r="F64" s="61"/>
      <c r="G64" s="195"/>
      <c r="H64" s="195"/>
      <c r="I64" s="195"/>
      <c r="J64" s="195"/>
      <c r="K64" s="195"/>
      <c r="L64" s="195"/>
      <c r="M64" s="195"/>
      <c r="N64" s="195"/>
      <c r="O64" s="195"/>
      <c r="P64" s="195"/>
      <c r="Q64" s="195"/>
      <c r="R64" s="195"/>
      <c r="S64" s="195"/>
      <c r="T64" s="61"/>
      <c r="U64" s="61"/>
      <c r="V64" s="61"/>
      <c r="W64" s="61"/>
      <c r="X64" s="61"/>
      <c r="Y64" s="61"/>
      <c r="Z64" s="61"/>
      <c r="AA64" s="61"/>
      <c r="AB64" s="61"/>
      <c r="AC64" s="230"/>
      <c r="AD64" s="311"/>
      <c r="AE64" s="230"/>
      <c r="AF64" s="230"/>
      <c r="AG64" s="365"/>
      <c r="AH64" s="365"/>
      <c r="AI64" s="89"/>
      <c r="AJ64" s="89"/>
      <c r="AK64" s="89"/>
      <c r="AL64" s="89"/>
      <c r="AM64" s="432"/>
      <c r="AN64" s="61"/>
      <c r="AO64" s="432"/>
      <c r="AP64" s="432"/>
      <c r="AQ64" s="61"/>
      <c r="AR64" s="61"/>
      <c r="AS64" s="61"/>
      <c r="AT64" s="187"/>
      <c r="AU64" s="61"/>
      <c r="AV64" s="61"/>
      <c r="AW64" s="61"/>
      <c r="AX64" s="61"/>
      <c r="AY64" s="89" t="s">
        <v>199</v>
      </c>
      <c r="AZ64" s="89">
        <v>48</v>
      </c>
      <c r="BA64" s="89" t="s">
        <v>230</v>
      </c>
      <c r="BB64" s="89" t="s">
        <v>229</v>
      </c>
      <c r="BC64" s="61">
        <v>2</v>
      </c>
      <c r="BD64" s="61"/>
      <c r="BE64" s="61"/>
      <c r="BF64" s="61"/>
      <c r="BG64" s="272"/>
      <c r="BH64" s="272"/>
      <c r="BI64" s="432"/>
      <c r="BJ64" s="296"/>
      <c r="BK64" s="61"/>
      <c r="BL64" s="61"/>
      <c r="BM64" s="124"/>
      <c r="BN64" s="432"/>
      <c r="BO64" s="130"/>
      <c r="BP64" s="124"/>
      <c r="BQ64" s="130"/>
      <c r="BR64" s="432"/>
      <c r="BS64" s="432"/>
      <c r="BT64" s="272"/>
      <c r="BU64" s="447"/>
      <c r="BV64" s="575"/>
      <c r="BW64" s="562"/>
      <c r="BX64" s="307"/>
      <c r="BY64" s="307"/>
      <c r="BZ64" s="575"/>
      <c r="CA64" s="247"/>
      <c r="CB64" s="368"/>
      <c r="CC64" s="396"/>
      <c r="CD64" s="307"/>
      <c r="CE64" s="396"/>
      <c r="CF64" s="562"/>
    </row>
    <row r="65" spans="1:84" s="116" customFormat="1" ht="35.25" customHeight="1">
      <c r="A65" s="583"/>
      <c r="B65" s="504"/>
      <c r="C65" s="432"/>
      <c r="D65" s="61"/>
      <c r="E65" s="61"/>
      <c r="F65" s="61"/>
      <c r="G65" s="195"/>
      <c r="H65" s="195"/>
      <c r="I65" s="195"/>
      <c r="J65" s="195"/>
      <c r="K65" s="195"/>
      <c r="L65" s="195"/>
      <c r="M65" s="195"/>
      <c r="N65" s="195"/>
      <c r="O65" s="195"/>
      <c r="P65" s="195"/>
      <c r="Q65" s="195"/>
      <c r="R65" s="195"/>
      <c r="S65" s="195"/>
      <c r="T65" s="61"/>
      <c r="U65" s="61"/>
      <c r="V65" s="61"/>
      <c r="W65" s="61"/>
      <c r="X65" s="61"/>
      <c r="Y65" s="61"/>
      <c r="Z65" s="61"/>
      <c r="AA65" s="61"/>
      <c r="AB65" s="61"/>
      <c r="AC65" s="230"/>
      <c r="AD65" s="311"/>
      <c r="AE65" s="230"/>
      <c r="AF65" s="230"/>
      <c r="AG65" s="365"/>
      <c r="AH65" s="365"/>
      <c r="AI65" s="89"/>
      <c r="AJ65" s="89"/>
      <c r="AK65" s="61"/>
      <c r="AL65" s="61"/>
      <c r="AM65" s="432"/>
      <c r="AN65" s="61"/>
      <c r="AO65" s="432"/>
      <c r="AP65" s="432"/>
      <c r="AQ65" s="61"/>
      <c r="AR65" s="61"/>
      <c r="AS65" s="61"/>
      <c r="AT65" s="187"/>
      <c r="AU65" s="89"/>
      <c r="AV65" s="61"/>
      <c r="AW65" s="61"/>
      <c r="AX65" s="61"/>
      <c r="AY65" s="103" t="s">
        <v>229</v>
      </c>
      <c r="AZ65" s="196">
        <v>72</v>
      </c>
      <c r="BA65" s="89" t="s">
        <v>230</v>
      </c>
      <c r="BB65" s="61"/>
      <c r="BC65" s="61"/>
      <c r="BD65" s="61"/>
      <c r="BE65" s="61"/>
      <c r="BF65" s="61"/>
      <c r="BG65" s="272"/>
      <c r="BH65" s="272"/>
      <c r="BI65" s="432"/>
      <c r="BJ65" s="296"/>
      <c r="BK65" s="61"/>
      <c r="BL65" s="61"/>
      <c r="BM65" s="124"/>
      <c r="BN65" s="432"/>
      <c r="BO65" s="124"/>
      <c r="BP65" s="124"/>
      <c r="BQ65" s="124"/>
      <c r="BR65" s="432"/>
      <c r="BS65" s="432"/>
      <c r="BT65" s="272"/>
      <c r="BU65" s="447"/>
      <c r="BV65" s="575"/>
      <c r="BW65" s="562"/>
      <c r="BX65" s="307"/>
      <c r="BY65" s="307"/>
      <c r="BZ65" s="575"/>
      <c r="CA65" s="247"/>
      <c r="CB65" s="368"/>
      <c r="CC65" s="396"/>
      <c r="CD65" s="307"/>
      <c r="CE65" s="396"/>
      <c r="CF65" s="562"/>
    </row>
    <row r="66" spans="1:84" s="116" customFormat="1" ht="35.25" customHeight="1">
      <c r="A66" s="583"/>
      <c r="B66" s="504"/>
      <c r="C66" s="432"/>
      <c r="D66" s="61"/>
      <c r="E66" s="61"/>
      <c r="F66" s="61"/>
      <c r="G66" s="195"/>
      <c r="H66" s="195"/>
      <c r="I66" s="195"/>
      <c r="J66" s="195"/>
      <c r="K66" s="195"/>
      <c r="L66" s="195"/>
      <c r="M66" s="195"/>
      <c r="N66" s="195"/>
      <c r="O66" s="195"/>
      <c r="P66" s="195"/>
      <c r="Q66" s="195"/>
      <c r="R66" s="195"/>
      <c r="S66" s="195"/>
      <c r="T66" s="61"/>
      <c r="U66" s="61"/>
      <c r="V66" s="61"/>
      <c r="W66" s="61"/>
      <c r="X66" s="61"/>
      <c r="Y66" s="61"/>
      <c r="Z66" s="61"/>
      <c r="AA66" s="61"/>
      <c r="AB66" s="61"/>
      <c r="AC66" s="393"/>
      <c r="AD66" s="393"/>
      <c r="AE66" s="393"/>
      <c r="AF66" s="393"/>
      <c r="AG66" s="393"/>
      <c r="AH66" s="393"/>
      <c r="AI66" s="89"/>
      <c r="AJ66" s="89"/>
      <c r="AK66" s="61"/>
      <c r="AL66" s="61"/>
      <c r="AM66" s="432"/>
      <c r="AN66" s="61"/>
      <c r="AO66" s="432"/>
      <c r="AP66" s="432"/>
      <c r="AQ66" s="61"/>
      <c r="AR66" s="61"/>
      <c r="AS66" s="61"/>
      <c r="AT66" s="385"/>
      <c r="AU66" s="89"/>
      <c r="AV66" s="61"/>
      <c r="AW66" s="61"/>
      <c r="AX66" s="61"/>
      <c r="AY66" s="103" t="s">
        <v>199</v>
      </c>
      <c r="AZ66" s="196">
        <v>10</v>
      </c>
      <c r="BA66" s="89" t="s">
        <v>378</v>
      </c>
      <c r="BB66" s="61"/>
      <c r="BC66" s="61"/>
      <c r="BD66" s="61"/>
      <c r="BE66" s="61"/>
      <c r="BF66" s="61"/>
      <c r="BG66" s="272"/>
      <c r="BH66" s="272"/>
      <c r="BI66" s="432"/>
      <c r="BJ66" s="374"/>
      <c r="BK66" s="61"/>
      <c r="BL66" s="61"/>
      <c r="BM66" s="124"/>
      <c r="BN66" s="432"/>
      <c r="BO66" s="124"/>
      <c r="BP66" s="124"/>
      <c r="BQ66" s="124"/>
      <c r="BR66" s="432"/>
      <c r="BS66" s="432"/>
      <c r="BT66" s="272"/>
      <c r="BU66" s="447"/>
      <c r="BV66" s="575"/>
      <c r="BW66" s="562"/>
      <c r="BX66" s="396"/>
      <c r="BY66" s="396"/>
      <c r="BZ66" s="575"/>
      <c r="CA66" s="396"/>
      <c r="CB66" s="396"/>
      <c r="CC66" s="396"/>
      <c r="CD66" s="396"/>
      <c r="CE66" s="396"/>
      <c r="CF66" s="562"/>
    </row>
    <row r="67" spans="1:84" s="116" customFormat="1" ht="35.25" customHeight="1">
      <c r="A67" s="583"/>
      <c r="B67" s="504"/>
      <c r="C67" s="432"/>
      <c r="D67" s="61"/>
      <c r="E67" s="61"/>
      <c r="F67" s="61"/>
      <c r="G67" s="195"/>
      <c r="H67" s="195"/>
      <c r="I67" s="195"/>
      <c r="J67" s="195"/>
      <c r="K67" s="195"/>
      <c r="L67" s="195"/>
      <c r="M67" s="195"/>
      <c r="N67" s="195"/>
      <c r="O67" s="195"/>
      <c r="P67" s="195"/>
      <c r="Q67" s="195"/>
      <c r="R67" s="195"/>
      <c r="S67" s="195"/>
      <c r="T67" s="61"/>
      <c r="U67" s="61"/>
      <c r="V67" s="61"/>
      <c r="W67" s="61"/>
      <c r="X67" s="61"/>
      <c r="Y67" s="61"/>
      <c r="Z67" s="61"/>
      <c r="AA67" s="61"/>
      <c r="AB67" s="61"/>
      <c r="AC67" s="393"/>
      <c r="AD67" s="393"/>
      <c r="AE67" s="393"/>
      <c r="AF67" s="393"/>
      <c r="AG67" s="393"/>
      <c r="AH67" s="393"/>
      <c r="AI67" s="89"/>
      <c r="AJ67" s="89"/>
      <c r="AK67" s="61"/>
      <c r="AL67" s="61"/>
      <c r="AM67" s="432"/>
      <c r="AN67" s="61"/>
      <c r="AO67" s="432"/>
      <c r="AP67" s="432"/>
      <c r="AQ67" s="61"/>
      <c r="AR67" s="61"/>
      <c r="AS67" s="61"/>
      <c r="AT67" s="385"/>
      <c r="AU67" s="89"/>
      <c r="AV67" s="61"/>
      <c r="AW67" s="61"/>
      <c r="AX67" s="61"/>
      <c r="AY67" s="103" t="s">
        <v>199</v>
      </c>
      <c r="AZ67" s="196">
        <v>3</v>
      </c>
      <c r="BA67" s="89" t="s">
        <v>336</v>
      </c>
      <c r="BB67" s="61"/>
      <c r="BC67" s="61"/>
      <c r="BD67" s="61"/>
      <c r="BE67" s="61"/>
      <c r="BF67" s="61"/>
      <c r="BG67" s="272"/>
      <c r="BH67" s="272"/>
      <c r="BI67" s="432"/>
      <c r="BJ67" s="374"/>
      <c r="BK67" s="61"/>
      <c r="BL67" s="61"/>
      <c r="BM67" s="124"/>
      <c r="BN67" s="432"/>
      <c r="BO67" s="124"/>
      <c r="BP67" s="124"/>
      <c r="BQ67" s="124"/>
      <c r="BR67" s="432"/>
      <c r="BS67" s="432"/>
      <c r="BT67" s="272"/>
      <c r="BU67" s="447"/>
      <c r="BV67" s="575"/>
      <c r="BW67" s="562"/>
      <c r="BX67" s="396"/>
      <c r="BY67" s="396"/>
      <c r="BZ67" s="575"/>
      <c r="CA67" s="396"/>
      <c r="CB67" s="396"/>
      <c r="CC67" s="396"/>
      <c r="CD67" s="396"/>
      <c r="CE67" s="396"/>
      <c r="CF67" s="562"/>
    </row>
    <row r="68" spans="1:84" s="116" customFormat="1" ht="9.75">
      <c r="A68" s="583"/>
      <c r="B68" s="504"/>
      <c r="C68" s="429"/>
      <c r="D68" s="61"/>
      <c r="E68" s="61"/>
      <c r="F68" s="61"/>
      <c r="G68" s="195"/>
      <c r="H68" s="195"/>
      <c r="I68" s="195"/>
      <c r="J68" s="195"/>
      <c r="K68" s="195"/>
      <c r="L68" s="195"/>
      <c r="M68" s="195"/>
      <c r="N68" s="195"/>
      <c r="O68" s="195"/>
      <c r="P68" s="195"/>
      <c r="Q68" s="195"/>
      <c r="R68" s="195"/>
      <c r="S68" s="195"/>
      <c r="T68" s="61"/>
      <c r="U68" s="61"/>
      <c r="V68" s="61"/>
      <c r="W68" s="61"/>
      <c r="X68" s="61"/>
      <c r="Y68" s="61"/>
      <c r="Z68" s="61"/>
      <c r="AA68" s="61"/>
      <c r="AB68" s="61"/>
      <c r="AC68" s="187"/>
      <c r="AD68" s="302"/>
      <c r="AE68" s="264"/>
      <c r="AF68" s="264"/>
      <c r="AG68" s="364"/>
      <c r="AH68" s="364"/>
      <c r="AI68" s="89"/>
      <c r="AJ68" s="89"/>
      <c r="AK68" s="61"/>
      <c r="AL68" s="61"/>
      <c r="AM68" s="429"/>
      <c r="AN68" s="61"/>
      <c r="AO68" s="432"/>
      <c r="AP68" s="429"/>
      <c r="AQ68" s="61"/>
      <c r="AR68" s="61"/>
      <c r="AS68" s="61"/>
      <c r="AT68" s="187"/>
      <c r="AU68" s="89"/>
      <c r="AV68" s="61"/>
      <c r="AW68" s="61"/>
      <c r="AX68" s="61"/>
      <c r="AY68" s="102"/>
      <c r="AZ68" s="102"/>
      <c r="BA68" s="61"/>
      <c r="BB68" s="61"/>
      <c r="BC68" s="61"/>
      <c r="BD68" s="61"/>
      <c r="BE68" s="61"/>
      <c r="BF68" s="61"/>
      <c r="BG68" s="72"/>
      <c r="BH68" s="72"/>
      <c r="BI68" s="429"/>
      <c r="BJ68" s="297"/>
      <c r="BK68" s="61"/>
      <c r="BL68" s="61"/>
      <c r="BM68" s="124"/>
      <c r="BN68" s="429"/>
      <c r="BO68" s="124"/>
      <c r="BP68" s="124"/>
      <c r="BQ68" s="124"/>
      <c r="BR68" s="432"/>
      <c r="BS68" s="429"/>
      <c r="BT68" s="72"/>
      <c r="BU68" s="519"/>
      <c r="BV68" s="576"/>
      <c r="BW68" s="563"/>
      <c r="BX68" s="306"/>
      <c r="BY68" s="306"/>
      <c r="BZ68" s="576"/>
      <c r="CA68" s="248"/>
      <c r="CB68" s="367"/>
      <c r="CC68" s="395"/>
      <c r="CD68" s="306"/>
      <c r="CE68" s="395"/>
      <c r="CF68" s="563"/>
    </row>
    <row r="69" spans="1:84" s="157" customFormat="1" ht="9.75">
      <c r="A69" s="433">
        <v>16</v>
      </c>
      <c r="B69" s="443" t="s">
        <v>108</v>
      </c>
      <c r="C69" s="433">
        <v>17475.75</v>
      </c>
      <c r="D69" s="10"/>
      <c r="E69" s="10"/>
      <c r="F69" s="10"/>
      <c r="G69" s="10"/>
      <c r="H69" s="10"/>
      <c r="I69" s="10"/>
      <c r="J69" s="10"/>
      <c r="K69" s="35" t="s">
        <v>345</v>
      </c>
      <c r="L69" s="35">
        <v>14</v>
      </c>
      <c r="M69" s="35">
        <v>20.4</v>
      </c>
      <c r="N69" s="35" t="s">
        <v>267</v>
      </c>
      <c r="O69" s="35"/>
      <c r="P69" s="10"/>
      <c r="Q69" s="10"/>
      <c r="R69" s="10"/>
      <c r="S69" s="35"/>
      <c r="T69" s="10"/>
      <c r="U69" s="10"/>
      <c r="V69" s="10"/>
      <c r="W69" s="35" t="s">
        <v>222</v>
      </c>
      <c r="X69" s="10">
        <v>5</v>
      </c>
      <c r="Y69" s="10"/>
      <c r="Z69" s="10"/>
      <c r="AA69" s="10"/>
      <c r="AB69" s="10"/>
      <c r="AC69" s="10"/>
      <c r="AD69" s="469" t="s">
        <v>275</v>
      </c>
      <c r="AE69" s="10"/>
      <c r="AF69" s="10"/>
      <c r="AG69" s="10">
        <v>3</v>
      </c>
      <c r="AH69" s="35" t="s">
        <v>316</v>
      </c>
      <c r="AI69" s="10">
        <v>5</v>
      </c>
      <c r="AJ69" s="35" t="s">
        <v>351</v>
      </c>
      <c r="AK69" s="10">
        <v>4.5</v>
      </c>
      <c r="AL69" s="35" t="s">
        <v>396</v>
      </c>
      <c r="AM69" s="469"/>
      <c r="AN69" s="10"/>
      <c r="AO69" s="469" t="s">
        <v>248</v>
      </c>
      <c r="AP69" s="433"/>
      <c r="AQ69" s="10"/>
      <c r="AR69" s="10"/>
      <c r="AS69" s="35"/>
      <c r="AT69" s="10"/>
      <c r="AU69" s="35"/>
      <c r="AV69" s="10"/>
      <c r="AW69" s="10"/>
      <c r="AX69" s="10"/>
      <c r="AY69" s="35" t="s">
        <v>201</v>
      </c>
      <c r="AZ69" s="10">
        <v>16</v>
      </c>
      <c r="BA69" s="35" t="s">
        <v>213</v>
      </c>
      <c r="BB69" s="35" t="s">
        <v>229</v>
      </c>
      <c r="BC69" s="10">
        <v>4</v>
      </c>
      <c r="BD69" s="10"/>
      <c r="BE69" s="10"/>
      <c r="BF69" s="10"/>
      <c r="BG69" s="57"/>
      <c r="BH69" s="57"/>
      <c r="BI69" s="469">
        <v>1</v>
      </c>
      <c r="BJ69" s="56">
        <v>2</v>
      </c>
      <c r="BK69" s="10"/>
      <c r="BL69" s="10"/>
      <c r="BM69" s="128"/>
      <c r="BN69" s="469" t="s">
        <v>248</v>
      </c>
      <c r="BO69" s="10"/>
      <c r="BP69" s="10"/>
      <c r="BQ69" s="57"/>
      <c r="BR69" s="469"/>
      <c r="BS69" s="469" t="s">
        <v>248</v>
      </c>
      <c r="BT69" s="469">
        <v>34</v>
      </c>
      <c r="BU69" s="469">
        <v>2</v>
      </c>
      <c r="BV69" s="541"/>
      <c r="BW69" s="565"/>
      <c r="BX69" s="541" t="s">
        <v>201</v>
      </c>
      <c r="BY69" s="611">
        <v>18</v>
      </c>
      <c r="BZ69" s="249"/>
      <c r="CA69" s="249"/>
      <c r="CB69" s="249"/>
      <c r="CC69" s="249"/>
      <c r="CD69" s="249"/>
      <c r="CE69" s="249"/>
      <c r="CF69" s="565"/>
    </row>
    <row r="70" spans="1:84" s="157" customFormat="1" ht="33.75" customHeight="1">
      <c r="A70" s="434"/>
      <c r="B70" s="444"/>
      <c r="C70" s="434"/>
      <c r="D70" s="10"/>
      <c r="E70" s="10"/>
      <c r="F70" s="10"/>
      <c r="G70" s="10"/>
      <c r="H70" s="10"/>
      <c r="I70" s="10"/>
      <c r="J70" s="10"/>
      <c r="K70" s="35" t="s">
        <v>346</v>
      </c>
      <c r="L70" s="35">
        <v>9</v>
      </c>
      <c r="M70" s="35"/>
      <c r="N70" s="35"/>
      <c r="O70" s="10"/>
      <c r="P70" s="10"/>
      <c r="Q70" s="10"/>
      <c r="R70" s="10"/>
      <c r="S70" s="35"/>
      <c r="T70" s="10"/>
      <c r="U70" s="10"/>
      <c r="V70" s="10"/>
      <c r="W70" s="10"/>
      <c r="X70" s="10"/>
      <c r="Y70" s="10"/>
      <c r="Z70" s="10"/>
      <c r="AA70" s="10"/>
      <c r="AB70" s="10"/>
      <c r="AC70" s="9"/>
      <c r="AD70" s="434"/>
      <c r="AE70" s="9"/>
      <c r="AF70" s="9"/>
      <c r="AG70" s="9"/>
      <c r="AH70" s="9"/>
      <c r="AI70" s="10"/>
      <c r="AJ70" s="10"/>
      <c r="AK70" s="35">
        <v>4.5</v>
      </c>
      <c r="AL70" s="35" t="s">
        <v>363</v>
      </c>
      <c r="AM70" s="434"/>
      <c r="AN70" s="10"/>
      <c r="AO70" s="434"/>
      <c r="AP70" s="434"/>
      <c r="AQ70" s="10"/>
      <c r="AR70" s="10"/>
      <c r="AS70" s="35"/>
      <c r="AT70" s="10"/>
      <c r="AU70" s="35"/>
      <c r="AV70" s="10"/>
      <c r="AW70" s="10"/>
      <c r="AX70" s="10"/>
      <c r="AY70" s="35" t="s">
        <v>199</v>
      </c>
      <c r="AZ70" s="218">
        <v>64</v>
      </c>
      <c r="BA70" s="35" t="s">
        <v>213</v>
      </c>
      <c r="BB70" s="35" t="s">
        <v>251</v>
      </c>
      <c r="BC70" s="10">
        <v>4</v>
      </c>
      <c r="BD70" s="10"/>
      <c r="BE70" s="10"/>
      <c r="BF70" s="10"/>
      <c r="BG70" s="58"/>
      <c r="BH70" s="58"/>
      <c r="BI70" s="434"/>
      <c r="BJ70" s="58"/>
      <c r="BK70" s="10"/>
      <c r="BL70" s="10"/>
      <c r="BM70" s="128"/>
      <c r="BN70" s="434"/>
      <c r="BO70" s="10"/>
      <c r="BP70" s="10"/>
      <c r="BQ70" s="10"/>
      <c r="BR70" s="434"/>
      <c r="BS70" s="472"/>
      <c r="BT70" s="472"/>
      <c r="BU70" s="472"/>
      <c r="BV70" s="546"/>
      <c r="BW70" s="566"/>
      <c r="BX70" s="542"/>
      <c r="BY70" s="546"/>
      <c r="BZ70" s="250"/>
      <c r="CA70" s="250"/>
      <c r="CB70" s="250"/>
      <c r="CC70" s="250"/>
      <c r="CD70" s="250"/>
      <c r="CE70" s="250"/>
      <c r="CF70" s="566"/>
    </row>
    <row r="71" spans="1:84" s="157" customFormat="1" ht="22.5" customHeight="1">
      <c r="A71" s="434"/>
      <c r="B71" s="444"/>
      <c r="C71" s="434"/>
      <c r="D71" s="10"/>
      <c r="E71" s="10"/>
      <c r="F71" s="10"/>
      <c r="G71" s="10"/>
      <c r="H71" s="10"/>
      <c r="I71" s="10"/>
      <c r="J71" s="10"/>
      <c r="K71" s="35" t="s">
        <v>359</v>
      </c>
      <c r="L71" s="10">
        <v>459</v>
      </c>
      <c r="M71" s="10"/>
      <c r="N71" s="10"/>
      <c r="O71" s="10"/>
      <c r="P71" s="10"/>
      <c r="Q71" s="10"/>
      <c r="R71" s="10"/>
      <c r="S71" s="35"/>
      <c r="T71" s="10"/>
      <c r="U71" s="10"/>
      <c r="V71" s="10"/>
      <c r="W71" s="10"/>
      <c r="X71" s="10"/>
      <c r="Y71" s="10"/>
      <c r="Z71" s="10"/>
      <c r="AA71" s="10"/>
      <c r="AB71" s="10"/>
      <c r="AC71" s="9"/>
      <c r="AD71" s="434"/>
      <c r="AE71" s="9"/>
      <c r="AF71" s="9"/>
      <c r="AG71" s="9"/>
      <c r="AH71" s="9"/>
      <c r="AI71" s="35"/>
      <c r="AJ71" s="35"/>
      <c r="AK71" s="10"/>
      <c r="AL71" s="10"/>
      <c r="AM71" s="434"/>
      <c r="AN71" s="10"/>
      <c r="AO71" s="434"/>
      <c r="AP71" s="434"/>
      <c r="AQ71" s="10"/>
      <c r="AR71" s="10"/>
      <c r="AS71" s="35"/>
      <c r="AT71" s="35"/>
      <c r="AU71" s="35"/>
      <c r="AV71" s="10"/>
      <c r="AW71" s="10"/>
      <c r="AX71" s="10"/>
      <c r="AY71" s="35" t="s">
        <v>229</v>
      </c>
      <c r="AZ71" s="10">
        <v>68</v>
      </c>
      <c r="BA71" s="76" t="s">
        <v>213</v>
      </c>
      <c r="BB71" s="76" t="s">
        <v>229</v>
      </c>
      <c r="BC71" s="13">
        <v>6</v>
      </c>
      <c r="BD71" s="10"/>
      <c r="BE71" s="10"/>
      <c r="BF71" s="10"/>
      <c r="BG71" s="58"/>
      <c r="BH71" s="58"/>
      <c r="BI71" s="434"/>
      <c r="BJ71" s="58"/>
      <c r="BK71" s="10"/>
      <c r="BL71" s="10"/>
      <c r="BM71" s="128"/>
      <c r="BN71" s="434"/>
      <c r="BO71" s="10"/>
      <c r="BP71" s="10"/>
      <c r="BQ71" s="10"/>
      <c r="BR71" s="434"/>
      <c r="BS71" s="472"/>
      <c r="BT71" s="472"/>
      <c r="BU71" s="472"/>
      <c r="BV71" s="546"/>
      <c r="BW71" s="566"/>
      <c r="BX71" s="542"/>
      <c r="BY71" s="546"/>
      <c r="BZ71" s="250"/>
      <c r="CA71" s="250"/>
      <c r="CB71" s="250"/>
      <c r="CC71" s="250"/>
      <c r="CD71" s="250"/>
      <c r="CE71" s="250"/>
      <c r="CF71" s="566"/>
    </row>
    <row r="72" spans="1:84" s="157" customFormat="1" ht="48.75" customHeight="1">
      <c r="A72" s="434"/>
      <c r="B72" s="444"/>
      <c r="C72" s="434"/>
      <c r="D72" s="10"/>
      <c r="E72" s="10"/>
      <c r="F72" s="10"/>
      <c r="G72" s="10"/>
      <c r="H72" s="10"/>
      <c r="I72" s="10"/>
      <c r="J72" s="10"/>
      <c r="K72" s="35" t="s">
        <v>397</v>
      </c>
      <c r="L72" s="10">
        <v>30</v>
      </c>
      <c r="M72" s="10"/>
      <c r="N72" s="10"/>
      <c r="O72" s="10"/>
      <c r="P72" s="10"/>
      <c r="Q72" s="10"/>
      <c r="R72" s="10"/>
      <c r="S72" s="35"/>
      <c r="T72" s="10"/>
      <c r="U72" s="10"/>
      <c r="V72" s="10"/>
      <c r="W72" s="10"/>
      <c r="X72" s="10"/>
      <c r="Y72" s="10"/>
      <c r="Z72" s="10"/>
      <c r="AA72" s="10"/>
      <c r="AB72" s="10"/>
      <c r="AC72" s="9"/>
      <c r="AD72" s="434"/>
      <c r="AE72" s="9"/>
      <c r="AF72" s="9"/>
      <c r="AG72" s="9"/>
      <c r="AH72" s="9"/>
      <c r="AI72" s="10"/>
      <c r="AJ72" s="10"/>
      <c r="AK72" s="10"/>
      <c r="AL72" s="10"/>
      <c r="AM72" s="434"/>
      <c r="AN72" s="10"/>
      <c r="AO72" s="434"/>
      <c r="AP72" s="434"/>
      <c r="AQ72" s="10"/>
      <c r="AR72" s="10"/>
      <c r="AS72" s="35"/>
      <c r="AT72" s="10"/>
      <c r="AU72" s="10"/>
      <c r="AV72" s="10"/>
      <c r="AW72" s="10"/>
      <c r="AX72" s="10"/>
      <c r="AY72" s="35" t="s">
        <v>251</v>
      </c>
      <c r="AZ72" s="10">
        <v>4</v>
      </c>
      <c r="BA72" s="35" t="s">
        <v>348</v>
      </c>
      <c r="BB72" s="10"/>
      <c r="BC72" s="10"/>
      <c r="BD72" s="10"/>
      <c r="BE72" s="10"/>
      <c r="BF72" s="10"/>
      <c r="BG72" s="58"/>
      <c r="BH72" s="58"/>
      <c r="BI72" s="434"/>
      <c r="BJ72" s="58"/>
      <c r="BK72" s="10"/>
      <c r="BL72" s="10"/>
      <c r="BM72" s="128"/>
      <c r="BN72" s="434"/>
      <c r="BO72" s="10"/>
      <c r="BP72" s="10"/>
      <c r="BQ72" s="10"/>
      <c r="BR72" s="434"/>
      <c r="BS72" s="472"/>
      <c r="BT72" s="472"/>
      <c r="BU72" s="472"/>
      <c r="BV72" s="546"/>
      <c r="BW72" s="566"/>
      <c r="BX72" s="542"/>
      <c r="BY72" s="546"/>
      <c r="BZ72" s="250"/>
      <c r="CA72" s="250"/>
      <c r="CB72" s="250"/>
      <c r="CC72" s="250"/>
      <c r="CD72" s="250"/>
      <c r="CE72" s="250"/>
      <c r="CF72" s="566"/>
    </row>
    <row r="73" spans="1:84" s="157" customFormat="1" ht="21" customHeight="1">
      <c r="A73" s="434"/>
      <c r="B73" s="444"/>
      <c r="C73" s="434"/>
      <c r="D73" s="10"/>
      <c r="E73" s="10"/>
      <c r="F73" s="10"/>
      <c r="G73" s="10"/>
      <c r="H73" s="10"/>
      <c r="I73" s="10"/>
      <c r="J73" s="10"/>
      <c r="K73" s="35" t="s">
        <v>398</v>
      </c>
      <c r="L73" s="10">
        <v>13</v>
      </c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9"/>
      <c r="AD73" s="434"/>
      <c r="AE73" s="9"/>
      <c r="AF73" s="9"/>
      <c r="AG73" s="9"/>
      <c r="AH73" s="9"/>
      <c r="AI73" s="35"/>
      <c r="AJ73" s="35"/>
      <c r="AK73" s="10"/>
      <c r="AL73" s="10"/>
      <c r="AM73" s="434"/>
      <c r="AN73" s="10"/>
      <c r="AO73" s="434"/>
      <c r="AP73" s="434"/>
      <c r="AQ73" s="10"/>
      <c r="AR73" s="10"/>
      <c r="AS73" s="35"/>
      <c r="AT73" s="10"/>
      <c r="AU73" s="10"/>
      <c r="AV73" s="10"/>
      <c r="AW73" s="10"/>
      <c r="AX73" s="10"/>
      <c r="AY73" s="35" t="s">
        <v>195</v>
      </c>
      <c r="AZ73" s="10">
        <v>12</v>
      </c>
      <c r="BA73" s="397" t="s">
        <v>348</v>
      </c>
      <c r="BB73" s="159"/>
      <c r="BC73" s="159"/>
      <c r="BD73" s="159"/>
      <c r="BE73" s="159"/>
      <c r="BF73" s="159"/>
      <c r="BG73" s="401"/>
      <c r="BH73" s="401"/>
      <c r="BI73" s="434"/>
      <c r="BJ73" s="58"/>
      <c r="BK73" s="10"/>
      <c r="BL73" s="10"/>
      <c r="BM73" s="128"/>
      <c r="BN73" s="434"/>
      <c r="BO73" s="10"/>
      <c r="BP73" s="10"/>
      <c r="BQ73" s="10"/>
      <c r="BR73" s="434"/>
      <c r="BS73" s="472"/>
      <c r="BT73" s="472"/>
      <c r="BU73" s="472"/>
      <c r="BV73" s="546"/>
      <c r="BW73" s="566"/>
      <c r="BX73" s="542"/>
      <c r="BY73" s="546"/>
      <c r="BZ73" s="250"/>
      <c r="CA73" s="250"/>
      <c r="CB73" s="250"/>
      <c r="CC73" s="250"/>
      <c r="CD73" s="250"/>
      <c r="CE73" s="250"/>
      <c r="CF73" s="566"/>
    </row>
    <row r="74" spans="1:84" s="157" customFormat="1" ht="22.5" customHeight="1">
      <c r="A74" s="434"/>
      <c r="B74" s="444"/>
      <c r="C74" s="434"/>
      <c r="D74" s="10"/>
      <c r="E74" s="10"/>
      <c r="F74" s="10"/>
      <c r="G74" s="10"/>
      <c r="H74" s="10"/>
      <c r="I74" s="10"/>
      <c r="J74" s="10"/>
      <c r="K74" s="35" t="s">
        <v>345</v>
      </c>
      <c r="L74" s="35">
        <v>8</v>
      </c>
      <c r="M74" s="35"/>
      <c r="N74" s="35"/>
      <c r="O74" s="10"/>
      <c r="P74" s="10"/>
      <c r="Q74" s="10"/>
      <c r="R74" s="10"/>
      <c r="S74" s="35"/>
      <c r="T74" s="10"/>
      <c r="U74" s="10"/>
      <c r="V74" s="10"/>
      <c r="W74" s="10"/>
      <c r="X74" s="10"/>
      <c r="Y74" s="10"/>
      <c r="Z74" s="10"/>
      <c r="AA74" s="10"/>
      <c r="AB74" s="10"/>
      <c r="AC74" s="9"/>
      <c r="AD74" s="434"/>
      <c r="AE74" s="9"/>
      <c r="AF74" s="9"/>
      <c r="AG74" s="9"/>
      <c r="AH74" s="9"/>
      <c r="AI74" s="35"/>
      <c r="AJ74" s="35"/>
      <c r="AK74" s="10"/>
      <c r="AL74" s="10"/>
      <c r="AM74" s="434"/>
      <c r="AN74" s="10"/>
      <c r="AO74" s="434"/>
      <c r="AP74" s="434"/>
      <c r="AQ74" s="10"/>
      <c r="AR74" s="10"/>
      <c r="AS74" s="10"/>
      <c r="AT74" s="35"/>
      <c r="AU74" s="35"/>
      <c r="AV74" s="10"/>
      <c r="AW74" s="10"/>
      <c r="AX74" s="10"/>
      <c r="AY74" s="10"/>
      <c r="AZ74" s="10"/>
      <c r="BA74" s="58"/>
      <c r="BB74" s="58"/>
      <c r="BC74" s="58"/>
      <c r="BD74" s="10"/>
      <c r="BE74" s="10"/>
      <c r="BF74" s="10"/>
      <c r="BG74" s="58"/>
      <c r="BH74" s="58"/>
      <c r="BI74" s="434"/>
      <c r="BJ74" s="58"/>
      <c r="BK74" s="10"/>
      <c r="BL74" s="10"/>
      <c r="BM74" s="128"/>
      <c r="BN74" s="434"/>
      <c r="BO74" s="10"/>
      <c r="BP74" s="10"/>
      <c r="BQ74" s="10"/>
      <c r="BR74" s="434"/>
      <c r="BS74" s="472"/>
      <c r="BT74" s="472"/>
      <c r="BU74" s="472"/>
      <c r="BV74" s="546"/>
      <c r="BW74" s="566"/>
      <c r="BX74" s="542"/>
      <c r="BY74" s="546"/>
      <c r="BZ74" s="250"/>
      <c r="CA74" s="250"/>
      <c r="CB74" s="250"/>
      <c r="CC74" s="250"/>
      <c r="CD74" s="250"/>
      <c r="CE74" s="250"/>
      <c r="CF74" s="566"/>
    </row>
    <row r="75" spans="1:84" s="157" customFormat="1" ht="22.5" customHeight="1">
      <c r="A75" s="434"/>
      <c r="B75" s="444"/>
      <c r="C75" s="434"/>
      <c r="D75" s="10"/>
      <c r="E75" s="10"/>
      <c r="F75" s="10"/>
      <c r="G75" s="10"/>
      <c r="H75" s="10"/>
      <c r="I75" s="10"/>
      <c r="J75" s="10"/>
      <c r="K75" s="35" t="s">
        <v>399</v>
      </c>
      <c r="L75" s="35">
        <v>45</v>
      </c>
      <c r="M75" s="35"/>
      <c r="N75" s="35"/>
      <c r="O75" s="10"/>
      <c r="P75" s="10"/>
      <c r="Q75" s="10"/>
      <c r="R75" s="10"/>
      <c r="S75" s="35"/>
      <c r="T75" s="10"/>
      <c r="U75" s="10"/>
      <c r="V75" s="10"/>
      <c r="W75" s="10"/>
      <c r="X75" s="10"/>
      <c r="Y75" s="10"/>
      <c r="Z75" s="10"/>
      <c r="AA75" s="10"/>
      <c r="AB75" s="10"/>
      <c r="AC75" s="9"/>
      <c r="AD75" s="434"/>
      <c r="AE75" s="9"/>
      <c r="AF75" s="9"/>
      <c r="AG75" s="9"/>
      <c r="AH75" s="9"/>
      <c r="AI75" s="35"/>
      <c r="AJ75" s="35"/>
      <c r="AK75" s="10"/>
      <c r="AL75" s="10"/>
      <c r="AM75" s="434"/>
      <c r="AN75" s="10"/>
      <c r="AO75" s="434"/>
      <c r="AP75" s="434"/>
      <c r="AQ75" s="10"/>
      <c r="AR75" s="10"/>
      <c r="AS75" s="10"/>
      <c r="AT75" s="35"/>
      <c r="AU75" s="35"/>
      <c r="AV75" s="10"/>
      <c r="AW75" s="10"/>
      <c r="AX75" s="10"/>
      <c r="AY75" s="10"/>
      <c r="AZ75" s="10"/>
      <c r="BA75" s="58"/>
      <c r="BB75" s="58"/>
      <c r="BC75" s="58"/>
      <c r="BD75" s="10"/>
      <c r="BE75" s="10"/>
      <c r="BF75" s="10"/>
      <c r="BG75" s="58"/>
      <c r="BH75" s="58"/>
      <c r="BI75" s="434"/>
      <c r="BJ75" s="58"/>
      <c r="BK75" s="10"/>
      <c r="BL75" s="10"/>
      <c r="BM75" s="128"/>
      <c r="BN75" s="434"/>
      <c r="BO75" s="10"/>
      <c r="BP75" s="10"/>
      <c r="BQ75" s="10"/>
      <c r="BR75" s="434"/>
      <c r="BS75" s="472"/>
      <c r="BT75" s="472"/>
      <c r="BU75" s="472"/>
      <c r="BV75" s="546"/>
      <c r="BW75" s="566"/>
      <c r="BX75" s="542"/>
      <c r="BY75" s="546"/>
      <c r="BZ75" s="250"/>
      <c r="CA75" s="250"/>
      <c r="CB75" s="250"/>
      <c r="CC75" s="250"/>
      <c r="CD75" s="250"/>
      <c r="CE75" s="250"/>
      <c r="CF75" s="566"/>
    </row>
    <row r="76" spans="1:84" s="157" customFormat="1" ht="36.75" customHeight="1">
      <c r="A76" s="434"/>
      <c r="B76" s="444"/>
      <c r="C76" s="435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35"/>
      <c r="T76" s="10"/>
      <c r="U76" s="10"/>
      <c r="V76" s="10"/>
      <c r="W76" s="10"/>
      <c r="X76" s="10"/>
      <c r="Y76" s="10"/>
      <c r="Z76" s="10"/>
      <c r="AA76" s="35"/>
      <c r="AB76" s="10"/>
      <c r="AC76" s="9"/>
      <c r="AD76" s="435"/>
      <c r="AE76" s="9"/>
      <c r="AF76" s="9"/>
      <c r="AG76" s="9"/>
      <c r="AH76" s="9"/>
      <c r="AI76" s="35"/>
      <c r="AJ76" s="35"/>
      <c r="AK76" s="10"/>
      <c r="AL76" s="10"/>
      <c r="AM76" s="435"/>
      <c r="AN76" s="10"/>
      <c r="AO76" s="434"/>
      <c r="AP76" s="435"/>
      <c r="AQ76" s="35"/>
      <c r="AR76" s="35"/>
      <c r="AS76" s="10"/>
      <c r="AT76" s="10"/>
      <c r="AU76" s="10"/>
      <c r="AV76" s="35"/>
      <c r="AW76" s="35"/>
      <c r="AX76" s="35"/>
      <c r="AY76" s="10"/>
      <c r="AZ76" s="10"/>
      <c r="BA76" s="10"/>
      <c r="BB76" s="10"/>
      <c r="BC76" s="10"/>
      <c r="BD76" s="10"/>
      <c r="BE76" s="10"/>
      <c r="BF76" s="10"/>
      <c r="BG76" s="13"/>
      <c r="BH76" s="13"/>
      <c r="BI76" s="435"/>
      <c r="BJ76" s="13"/>
      <c r="BK76" s="10"/>
      <c r="BL76" s="10"/>
      <c r="BM76" s="128"/>
      <c r="BN76" s="435"/>
      <c r="BO76" s="10"/>
      <c r="BP76" s="10"/>
      <c r="BQ76" s="10"/>
      <c r="BR76" s="435"/>
      <c r="BS76" s="478"/>
      <c r="BT76" s="478"/>
      <c r="BU76" s="478"/>
      <c r="BV76" s="564"/>
      <c r="BW76" s="567"/>
      <c r="BX76" s="543"/>
      <c r="BY76" s="564"/>
      <c r="BZ76" s="251"/>
      <c r="CA76" s="251"/>
      <c r="CB76" s="251"/>
      <c r="CC76" s="251"/>
      <c r="CD76" s="251"/>
      <c r="CE76" s="251"/>
      <c r="CF76" s="567"/>
    </row>
    <row r="77" spans="1:84" s="116" customFormat="1" ht="12" customHeight="1">
      <c r="A77" s="428">
        <v>17</v>
      </c>
      <c r="B77" s="503" t="s">
        <v>109</v>
      </c>
      <c r="C77" s="428">
        <v>1121</v>
      </c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89"/>
      <c r="AD77" s="89"/>
      <c r="AE77" s="89"/>
      <c r="AF77" s="89"/>
      <c r="AG77" s="89"/>
      <c r="AH77" s="89"/>
      <c r="AI77" s="89"/>
      <c r="AJ77" s="89"/>
      <c r="AK77" s="61"/>
      <c r="AL77" s="61"/>
      <c r="AM77" s="457"/>
      <c r="AN77" s="61"/>
      <c r="AO77" s="574" t="s">
        <v>248</v>
      </c>
      <c r="AP77" s="428"/>
      <c r="AQ77" s="61"/>
      <c r="AR77" s="61"/>
      <c r="AS77" s="61"/>
      <c r="AT77" s="61"/>
      <c r="AU77" s="61"/>
      <c r="AV77" s="61"/>
      <c r="AW77" s="61"/>
      <c r="AX77" s="61"/>
      <c r="AY77" s="61"/>
      <c r="AZ77" s="61"/>
      <c r="BA77" s="61"/>
      <c r="BB77" s="89" t="s">
        <v>251</v>
      </c>
      <c r="BC77" s="61">
        <v>0.5</v>
      </c>
      <c r="BD77" s="61"/>
      <c r="BE77" s="61"/>
      <c r="BF77" s="61"/>
      <c r="BG77" s="71"/>
      <c r="BH77" s="71"/>
      <c r="BI77" s="428">
        <v>1</v>
      </c>
      <c r="BJ77" s="71"/>
      <c r="BK77" s="61"/>
      <c r="BL77" s="61"/>
      <c r="BM77" s="124"/>
      <c r="BN77" s="457" t="s">
        <v>248</v>
      </c>
      <c r="BO77" s="124"/>
      <c r="BP77" s="124"/>
      <c r="BQ77" s="124"/>
      <c r="BR77" s="428"/>
      <c r="BS77" s="457" t="s">
        <v>248</v>
      </c>
      <c r="BT77" s="71"/>
      <c r="BU77" s="428">
        <v>1</v>
      </c>
      <c r="BV77" s="539"/>
      <c r="BW77" s="561"/>
      <c r="BX77" s="305"/>
      <c r="BY77" s="305"/>
      <c r="BZ77" s="317"/>
      <c r="CA77" s="246"/>
      <c r="CB77" s="366"/>
      <c r="CC77" s="394"/>
      <c r="CD77" s="305"/>
      <c r="CE77" s="394"/>
      <c r="CF77" s="561"/>
    </row>
    <row r="78" spans="1:84" s="116" customFormat="1" ht="12" customHeight="1">
      <c r="A78" s="429"/>
      <c r="B78" s="505"/>
      <c r="C78" s="429"/>
      <c r="D78" s="61"/>
      <c r="E78" s="195"/>
      <c r="F78" s="195"/>
      <c r="G78" s="61"/>
      <c r="H78" s="61"/>
      <c r="I78" s="61"/>
      <c r="J78" s="61"/>
      <c r="K78" s="61"/>
      <c r="L78" s="61"/>
      <c r="M78" s="61"/>
      <c r="N78" s="61"/>
      <c r="O78" s="61"/>
      <c r="P78" s="62"/>
      <c r="Q78" s="62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89"/>
      <c r="AD78" s="89"/>
      <c r="AE78" s="89"/>
      <c r="AF78" s="89"/>
      <c r="AG78" s="89"/>
      <c r="AH78" s="89"/>
      <c r="AI78" s="61"/>
      <c r="AJ78" s="61"/>
      <c r="AK78" s="61"/>
      <c r="AL78" s="61"/>
      <c r="AM78" s="429"/>
      <c r="AN78" s="61"/>
      <c r="AO78" s="576"/>
      <c r="AP78" s="429"/>
      <c r="AQ78" s="61"/>
      <c r="AR78" s="61"/>
      <c r="AS78" s="61"/>
      <c r="AT78" s="61"/>
      <c r="AU78" s="61"/>
      <c r="AV78" s="61"/>
      <c r="AW78" s="61"/>
      <c r="AX78" s="61"/>
      <c r="AY78" s="61"/>
      <c r="AZ78" s="61"/>
      <c r="BA78" s="61"/>
      <c r="BB78" s="89" t="s">
        <v>199</v>
      </c>
      <c r="BC78" s="61">
        <v>1</v>
      </c>
      <c r="BD78" s="61"/>
      <c r="BE78" s="61"/>
      <c r="BF78" s="61"/>
      <c r="BG78" s="72"/>
      <c r="BH78" s="72"/>
      <c r="BI78" s="429"/>
      <c r="BJ78" s="297"/>
      <c r="BK78" s="61"/>
      <c r="BL78" s="61"/>
      <c r="BM78" s="124"/>
      <c r="BN78" s="429"/>
      <c r="BO78" s="124"/>
      <c r="BP78" s="124"/>
      <c r="BQ78" s="124"/>
      <c r="BR78" s="429"/>
      <c r="BS78" s="429"/>
      <c r="BT78" s="72"/>
      <c r="BU78" s="519"/>
      <c r="BV78" s="576"/>
      <c r="BW78" s="563"/>
      <c r="BX78" s="306"/>
      <c r="BY78" s="306"/>
      <c r="BZ78" s="319"/>
      <c r="CA78" s="248"/>
      <c r="CB78" s="367"/>
      <c r="CC78" s="395"/>
      <c r="CD78" s="306"/>
      <c r="CE78" s="395"/>
      <c r="CF78" s="563"/>
    </row>
    <row r="79" spans="1:84" s="157" customFormat="1" ht="25.5" customHeight="1">
      <c r="A79" s="57">
        <v>18</v>
      </c>
      <c r="B79" s="188" t="s">
        <v>110</v>
      </c>
      <c r="C79" s="57">
        <v>1478.26</v>
      </c>
      <c r="D79" s="10"/>
      <c r="E79" s="10"/>
      <c r="F79" s="58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0"/>
      <c r="U79" s="10"/>
      <c r="V79" s="10"/>
      <c r="W79" s="10"/>
      <c r="X79" s="10"/>
      <c r="Y79" s="13"/>
      <c r="Z79" s="13"/>
      <c r="AA79" s="13"/>
      <c r="AB79" s="13"/>
      <c r="AC79" s="76" t="s">
        <v>227</v>
      </c>
      <c r="AD79" s="76"/>
      <c r="AE79" s="76"/>
      <c r="AF79" s="76"/>
      <c r="AG79" s="76"/>
      <c r="AH79" s="76"/>
      <c r="AI79" s="76"/>
      <c r="AJ79" s="35"/>
      <c r="AK79" s="13"/>
      <c r="AL79" s="13"/>
      <c r="AM79" s="76"/>
      <c r="AN79" s="13"/>
      <c r="AO79" s="198" t="s">
        <v>248</v>
      </c>
      <c r="AP79" s="10"/>
      <c r="AQ79" s="10"/>
      <c r="AR79" s="10"/>
      <c r="AS79" s="10"/>
      <c r="AT79" s="10"/>
      <c r="AU79" s="57"/>
      <c r="AV79" s="10"/>
      <c r="AW79" s="10"/>
      <c r="AX79" s="10"/>
      <c r="AY79" s="10"/>
      <c r="AZ79" s="10"/>
      <c r="BA79" s="13"/>
      <c r="BB79" s="13"/>
      <c r="BC79" s="13"/>
      <c r="BD79" s="10"/>
      <c r="BE79" s="10"/>
      <c r="BF79" s="10"/>
      <c r="BG79" s="13"/>
      <c r="BH79" s="13"/>
      <c r="BI79" s="76"/>
      <c r="BJ79" s="76"/>
      <c r="BK79" s="10"/>
      <c r="BL79" s="10"/>
      <c r="BM79" s="128"/>
      <c r="BN79" s="125" t="s">
        <v>248</v>
      </c>
      <c r="BO79" s="128"/>
      <c r="BP79" s="128"/>
      <c r="BQ79" s="128"/>
      <c r="BR79" s="10"/>
      <c r="BS79" s="35" t="s">
        <v>248</v>
      </c>
      <c r="BT79" s="10"/>
      <c r="BU79" s="10">
        <v>1</v>
      </c>
      <c r="BV79" s="93"/>
      <c r="BW79" s="156"/>
      <c r="BX79" s="156"/>
      <c r="BY79" s="156"/>
      <c r="BZ79" s="156"/>
      <c r="CA79" s="156"/>
      <c r="CB79" s="156"/>
      <c r="CC79" s="156"/>
      <c r="CD79" s="156"/>
      <c r="CE79" s="156"/>
      <c r="CF79" s="156"/>
    </row>
    <row r="80" spans="1:84" s="116" customFormat="1" ht="35.25" customHeight="1">
      <c r="A80" s="71">
        <v>19</v>
      </c>
      <c r="B80" s="189" t="s">
        <v>111</v>
      </c>
      <c r="C80" s="71">
        <v>1585.53</v>
      </c>
      <c r="D80" s="89"/>
      <c r="E80" s="71"/>
      <c r="F80" s="71"/>
      <c r="G80" s="61"/>
      <c r="H80" s="61"/>
      <c r="I80" s="61"/>
      <c r="J80" s="61"/>
      <c r="K80" s="89" t="s">
        <v>268</v>
      </c>
      <c r="L80" s="61">
        <v>136</v>
      </c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61"/>
      <c r="AC80" s="89"/>
      <c r="AD80" s="89"/>
      <c r="AE80" s="89"/>
      <c r="AF80" s="89"/>
      <c r="AG80" s="89"/>
      <c r="AH80" s="89"/>
      <c r="AI80" s="61"/>
      <c r="AJ80" s="61"/>
      <c r="AK80" s="61"/>
      <c r="AL80" s="61"/>
      <c r="AM80" s="89"/>
      <c r="AN80" s="61"/>
      <c r="AO80" s="92" t="s">
        <v>248</v>
      </c>
      <c r="AP80" s="61"/>
      <c r="AQ80" s="61"/>
      <c r="AR80" s="61"/>
      <c r="AS80" s="61"/>
      <c r="AT80" s="61"/>
      <c r="AU80" s="89"/>
      <c r="AV80" s="61"/>
      <c r="AW80" s="61"/>
      <c r="AX80" s="61"/>
      <c r="AY80" s="61"/>
      <c r="AZ80" s="61"/>
      <c r="BA80" s="61"/>
      <c r="BB80" s="61"/>
      <c r="BC80" s="61"/>
      <c r="BD80" s="61"/>
      <c r="BE80" s="61"/>
      <c r="BF80" s="61"/>
      <c r="BG80" s="61"/>
      <c r="BH80" s="61"/>
      <c r="BI80" s="89"/>
      <c r="BJ80" s="89"/>
      <c r="BK80" s="61"/>
      <c r="BL80" s="61"/>
      <c r="BM80" s="124"/>
      <c r="BN80" s="130" t="s">
        <v>248</v>
      </c>
      <c r="BO80" s="124"/>
      <c r="BP80" s="124"/>
      <c r="BQ80" s="124"/>
      <c r="BR80" s="71"/>
      <c r="BS80" s="92" t="s">
        <v>248</v>
      </c>
      <c r="BT80" s="71"/>
      <c r="BU80" s="71">
        <v>1</v>
      </c>
      <c r="BV80" s="103"/>
      <c r="BW80" s="154"/>
      <c r="BX80" s="154"/>
      <c r="BY80" s="154"/>
      <c r="BZ80" s="154"/>
      <c r="CA80" s="154"/>
      <c r="CB80" s="154"/>
      <c r="CC80" s="154"/>
      <c r="CD80" s="154"/>
      <c r="CE80" s="154"/>
      <c r="CF80" s="154"/>
    </row>
    <row r="81" spans="1:84" s="160" customFormat="1" ht="9.75">
      <c r="A81" s="433">
        <v>20</v>
      </c>
      <c r="B81" s="443" t="s">
        <v>112</v>
      </c>
      <c r="C81" s="433">
        <v>9307.17</v>
      </c>
      <c r="D81" s="87"/>
      <c r="E81" s="87"/>
      <c r="F81" s="87"/>
      <c r="G81" s="87"/>
      <c r="H81" s="87"/>
      <c r="I81" s="87"/>
      <c r="J81" s="294"/>
      <c r="K81" s="262" t="s">
        <v>347</v>
      </c>
      <c r="L81" s="262">
        <v>10</v>
      </c>
      <c r="M81" s="291"/>
      <c r="N81" s="291"/>
      <c r="O81" s="240"/>
      <c r="P81" s="244"/>
      <c r="Q81" s="86"/>
      <c r="R81" s="86"/>
      <c r="S81" s="86"/>
      <c r="T81" s="87"/>
      <c r="U81" s="87"/>
      <c r="V81" s="476" t="s">
        <v>273</v>
      </c>
      <c r="W81" s="192" t="s">
        <v>222</v>
      </c>
      <c r="X81" s="87">
        <v>1</v>
      </c>
      <c r="Y81" s="87"/>
      <c r="Z81" s="192"/>
      <c r="AA81" s="86"/>
      <c r="AB81" s="86"/>
      <c r="AC81" s="86"/>
      <c r="AD81" s="86"/>
      <c r="AE81" s="86"/>
      <c r="AF81" s="86"/>
      <c r="AG81" s="86">
        <v>1</v>
      </c>
      <c r="AH81" s="369" t="s">
        <v>230</v>
      </c>
      <c r="AI81" s="192">
        <v>5</v>
      </c>
      <c r="AJ81" s="192"/>
      <c r="AK81" s="87"/>
      <c r="AL81" s="87"/>
      <c r="AM81" s="476"/>
      <c r="AN81" s="87"/>
      <c r="AO81" s="469" t="s">
        <v>248</v>
      </c>
      <c r="AP81" s="445"/>
      <c r="AQ81" s="192" t="s">
        <v>257</v>
      </c>
      <c r="AR81" s="87">
        <v>5</v>
      </c>
      <c r="AS81" s="87"/>
      <c r="AT81" s="87"/>
      <c r="AU81" s="87"/>
      <c r="AV81" s="192" t="s">
        <v>211</v>
      </c>
      <c r="AW81" s="192" t="s">
        <v>251</v>
      </c>
      <c r="AX81" s="87">
        <v>1</v>
      </c>
      <c r="AY81" s="192" t="s">
        <v>199</v>
      </c>
      <c r="AZ81" s="192">
        <v>8</v>
      </c>
      <c r="BA81" s="192" t="s">
        <v>368</v>
      </c>
      <c r="BB81" s="192"/>
      <c r="BC81" s="87"/>
      <c r="BD81" s="87"/>
      <c r="BE81" s="87"/>
      <c r="BF81" s="87"/>
      <c r="BG81" s="445">
        <v>1</v>
      </c>
      <c r="BH81" s="398"/>
      <c r="BI81" s="476"/>
      <c r="BJ81" s="476">
        <v>2</v>
      </c>
      <c r="BK81" s="192"/>
      <c r="BL81" s="87"/>
      <c r="BM81" s="219"/>
      <c r="BN81" s="476" t="s">
        <v>248</v>
      </c>
      <c r="BO81" s="219"/>
      <c r="BP81" s="219"/>
      <c r="BQ81" s="219"/>
      <c r="BR81" s="445"/>
      <c r="BS81" s="476" t="s">
        <v>248</v>
      </c>
      <c r="BT81" s="445">
        <v>10</v>
      </c>
      <c r="BU81" s="412"/>
      <c r="BV81" s="589">
        <v>1</v>
      </c>
      <c r="BW81" s="476" t="s">
        <v>248</v>
      </c>
      <c r="BX81" s="298"/>
      <c r="BY81" s="298"/>
      <c r="BZ81" s="315"/>
      <c r="CA81" s="476" t="s">
        <v>248</v>
      </c>
      <c r="CB81" s="589" t="s">
        <v>293</v>
      </c>
      <c r="CC81" s="589" t="s">
        <v>248</v>
      </c>
      <c r="CD81" s="298"/>
      <c r="CE81" s="379"/>
      <c r="CF81" s="579"/>
    </row>
    <row r="82" spans="1:84" s="157" customFormat="1" ht="57.75" customHeight="1">
      <c r="A82" s="583"/>
      <c r="B82" s="584"/>
      <c r="C82" s="434"/>
      <c r="D82" s="10"/>
      <c r="E82" s="87"/>
      <c r="F82" s="87"/>
      <c r="G82" s="10"/>
      <c r="H82" s="10"/>
      <c r="I82" s="10"/>
      <c r="J82" s="10"/>
      <c r="K82" s="35" t="s">
        <v>260</v>
      </c>
      <c r="L82" s="35">
        <v>42.5</v>
      </c>
      <c r="M82" s="35"/>
      <c r="N82" s="35"/>
      <c r="O82" s="10"/>
      <c r="P82" s="10"/>
      <c r="Q82" s="10"/>
      <c r="R82" s="10"/>
      <c r="S82" s="10"/>
      <c r="T82" s="10"/>
      <c r="U82" s="10"/>
      <c r="V82" s="477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35"/>
      <c r="AJ82" s="35"/>
      <c r="AK82" s="10"/>
      <c r="AL82" s="10"/>
      <c r="AM82" s="477"/>
      <c r="AN82" s="10"/>
      <c r="AO82" s="434"/>
      <c r="AP82" s="477"/>
      <c r="AQ82" s="35" t="s">
        <v>201</v>
      </c>
      <c r="AR82" s="10">
        <v>4</v>
      </c>
      <c r="AS82" s="10"/>
      <c r="AT82" s="10"/>
      <c r="AU82" s="10"/>
      <c r="AV82" s="35" t="s">
        <v>211</v>
      </c>
      <c r="AW82" s="35" t="s">
        <v>195</v>
      </c>
      <c r="AX82" s="10">
        <v>8</v>
      </c>
      <c r="AY82" s="35" t="s">
        <v>251</v>
      </c>
      <c r="AZ82" s="35">
        <v>2</v>
      </c>
      <c r="BA82" s="35" t="s">
        <v>196</v>
      </c>
      <c r="BB82" s="10"/>
      <c r="BC82" s="10"/>
      <c r="BD82" s="10"/>
      <c r="BE82" s="10"/>
      <c r="BF82" s="10"/>
      <c r="BG82" s="477"/>
      <c r="BH82" s="58"/>
      <c r="BI82" s="477"/>
      <c r="BJ82" s="603"/>
      <c r="BK82" s="10"/>
      <c r="BL82" s="10"/>
      <c r="BM82" s="128"/>
      <c r="BN82" s="477"/>
      <c r="BO82" s="125"/>
      <c r="BP82" s="125"/>
      <c r="BQ82" s="125"/>
      <c r="BR82" s="477"/>
      <c r="BS82" s="477"/>
      <c r="BT82" s="477"/>
      <c r="BU82" s="422"/>
      <c r="BV82" s="580"/>
      <c r="BW82" s="477"/>
      <c r="BX82" s="304"/>
      <c r="BY82" s="304"/>
      <c r="BZ82" s="316"/>
      <c r="CA82" s="603"/>
      <c r="CB82" s="580"/>
      <c r="CC82" s="599"/>
      <c r="CD82" s="308"/>
      <c r="CE82" s="392"/>
      <c r="CF82" s="580"/>
    </row>
    <row r="83" spans="1:84" s="157" customFormat="1" ht="12" customHeight="1">
      <c r="A83" s="583"/>
      <c r="B83" s="584"/>
      <c r="C83" s="434"/>
      <c r="D83" s="10"/>
      <c r="E83" s="87"/>
      <c r="F83" s="87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477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35"/>
      <c r="AJ83" s="35"/>
      <c r="AK83" s="10"/>
      <c r="AL83" s="10"/>
      <c r="AM83" s="477"/>
      <c r="AN83" s="10"/>
      <c r="AO83" s="434"/>
      <c r="AP83" s="477"/>
      <c r="AQ83" s="10"/>
      <c r="AR83" s="10"/>
      <c r="AS83" s="10"/>
      <c r="AT83" s="10"/>
      <c r="AU83" s="10"/>
      <c r="AV83" s="35" t="s">
        <v>202</v>
      </c>
      <c r="AW83" s="35" t="s">
        <v>257</v>
      </c>
      <c r="AX83" s="10">
        <v>10</v>
      </c>
      <c r="AY83" s="10"/>
      <c r="AZ83" s="10"/>
      <c r="BA83" s="10"/>
      <c r="BB83" s="35"/>
      <c r="BC83" s="10"/>
      <c r="BD83" s="10"/>
      <c r="BE83" s="10"/>
      <c r="BF83" s="10"/>
      <c r="BG83" s="477"/>
      <c r="BH83" s="58"/>
      <c r="BI83" s="477"/>
      <c r="BJ83" s="603"/>
      <c r="BK83" s="10"/>
      <c r="BL83" s="10"/>
      <c r="BM83" s="128"/>
      <c r="BN83" s="477"/>
      <c r="BO83" s="128"/>
      <c r="BP83" s="128"/>
      <c r="BQ83" s="128"/>
      <c r="BR83" s="477"/>
      <c r="BS83" s="477"/>
      <c r="BT83" s="477"/>
      <c r="BU83" s="422"/>
      <c r="BV83" s="580"/>
      <c r="BW83" s="477"/>
      <c r="BX83" s="304"/>
      <c r="BY83" s="304"/>
      <c r="BZ83" s="316"/>
      <c r="CA83" s="603"/>
      <c r="CB83" s="580"/>
      <c r="CC83" s="599"/>
      <c r="CD83" s="308"/>
      <c r="CE83" s="392"/>
      <c r="CF83" s="580"/>
    </row>
    <row r="84" spans="1:84" s="43" customFormat="1" ht="27" customHeight="1">
      <c r="A84" s="583"/>
      <c r="B84" s="584"/>
      <c r="C84" s="434"/>
      <c r="D84" s="10"/>
      <c r="E84" s="87"/>
      <c r="F84" s="87"/>
      <c r="G84" s="10"/>
      <c r="H84" s="10"/>
      <c r="I84" s="10"/>
      <c r="J84" s="58"/>
      <c r="K84" s="58"/>
      <c r="L84" s="58"/>
      <c r="M84" s="58"/>
      <c r="N84" s="58"/>
      <c r="O84" s="58"/>
      <c r="P84" s="10"/>
      <c r="Q84" s="10"/>
      <c r="R84" s="10"/>
      <c r="S84" s="10"/>
      <c r="T84" s="10"/>
      <c r="U84" s="10"/>
      <c r="V84" s="446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446"/>
      <c r="AN84" s="10"/>
      <c r="AO84" s="434"/>
      <c r="AP84" s="446"/>
      <c r="AQ84" s="142"/>
      <c r="AR84" s="142"/>
      <c r="AS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  <c r="BF84" s="35"/>
      <c r="BG84" s="446"/>
      <c r="BH84" s="76"/>
      <c r="BI84" s="446"/>
      <c r="BJ84" s="518"/>
      <c r="BK84" s="35"/>
      <c r="BL84" s="35"/>
      <c r="BM84" s="125"/>
      <c r="BN84" s="446"/>
      <c r="BO84" s="125"/>
      <c r="BP84" s="125"/>
      <c r="BQ84" s="125"/>
      <c r="BR84" s="446"/>
      <c r="BS84" s="446"/>
      <c r="BT84" s="446"/>
      <c r="BU84" s="413"/>
      <c r="BV84" s="581"/>
      <c r="BW84" s="446"/>
      <c r="BX84" s="295"/>
      <c r="BY84" s="295"/>
      <c r="BZ84" s="313"/>
      <c r="CA84" s="518"/>
      <c r="CB84" s="581"/>
      <c r="CC84" s="600"/>
      <c r="CD84" s="299"/>
      <c r="CE84" s="380"/>
      <c r="CF84" s="581"/>
    </row>
    <row r="85" spans="1:90" s="43" customFormat="1" ht="24.75" customHeight="1">
      <c r="A85" s="92">
        <v>21</v>
      </c>
      <c r="B85" s="190" t="s">
        <v>113</v>
      </c>
      <c r="C85" s="110">
        <v>1988</v>
      </c>
      <c r="D85" s="101"/>
      <c r="E85" s="110"/>
      <c r="F85" s="110"/>
      <c r="G85" s="101"/>
      <c r="H85" s="101"/>
      <c r="I85" s="101"/>
      <c r="J85" s="101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89"/>
      <c r="X85" s="89"/>
      <c r="Y85" s="89"/>
      <c r="Z85" s="89"/>
      <c r="AA85" s="92"/>
      <c r="AB85" s="92"/>
      <c r="AC85" s="92"/>
      <c r="AD85" s="110"/>
      <c r="AE85" s="110"/>
      <c r="AF85" s="110"/>
      <c r="AG85" s="110"/>
      <c r="AH85" s="110"/>
      <c r="AI85" s="101"/>
      <c r="AJ85" s="101"/>
      <c r="AK85" s="101"/>
      <c r="AL85" s="101"/>
      <c r="AM85" s="101"/>
      <c r="AN85" s="101"/>
      <c r="AO85" s="92" t="s">
        <v>248</v>
      </c>
      <c r="AP85" s="89"/>
      <c r="AQ85" s="89"/>
      <c r="AR85" s="89"/>
      <c r="AS85" s="89"/>
      <c r="AT85" s="89"/>
      <c r="AU85" s="89"/>
      <c r="AV85" s="89"/>
      <c r="AW85" s="89"/>
      <c r="AX85" s="89"/>
      <c r="AY85" s="89"/>
      <c r="AZ85" s="89"/>
      <c r="BA85" s="89"/>
      <c r="BB85" s="89"/>
      <c r="BC85" s="89"/>
      <c r="BD85" s="89"/>
      <c r="BE85" s="89"/>
      <c r="BF85" s="89"/>
      <c r="BG85" s="89"/>
      <c r="BH85" s="89"/>
      <c r="BI85" s="89"/>
      <c r="BJ85" s="89"/>
      <c r="BK85" s="89"/>
      <c r="BL85" s="89"/>
      <c r="BM85" s="130"/>
      <c r="BN85" s="130" t="s">
        <v>248</v>
      </c>
      <c r="BO85" s="127"/>
      <c r="BP85" s="127"/>
      <c r="BQ85" s="127"/>
      <c r="BR85" s="92"/>
      <c r="BS85" s="92" t="s">
        <v>248</v>
      </c>
      <c r="BT85" s="92"/>
      <c r="BU85" s="92"/>
      <c r="BV85" s="103"/>
      <c r="BW85" s="99"/>
      <c r="BX85" s="99"/>
      <c r="BY85" s="99"/>
      <c r="BZ85" s="99"/>
      <c r="CA85" s="99"/>
      <c r="CB85" s="99"/>
      <c r="CC85" s="99"/>
      <c r="CD85" s="99"/>
      <c r="CE85" s="99"/>
      <c r="CF85" s="99"/>
      <c r="CG85" s="98"/>
      <c r="CH85" s="98"/>
      <c r="CI85" s="98"/>
      <c r="CJ85" s="98"/>
      <c r="CK85" s="98"/>
      <c r="CL85" s="98"/>
    </row>
    <row r="86" spans="1:84" s="45" customFormat="1" ht="9.75">
      <c r="A86" s="469">
        <v>22</v>
      </c>
      <c r="B86" s="537" t="s">
        <v>114</v>
      </c>
      <c r="C86" s="469">
        <v>1993.9</v>
      </c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469" t="s">
        <v>248</v>
      </c>
      <c r="AP86" s="35"/>
      <c r="AQ86" s="35"/>
      <c r="AR86" s="35"/>
      <c r="AS86" s="35"/>
      <c r="AT86" s="35"/>
      <c r="AU86" s="35"/>
      <c r="AV86" s="35"/>
      <c r="AW86" s="35"/>
      <c r="AX86" s="35"/>
      <c r="AY86" s="93" t="s">
        <v>251</v>
      </c>
      <c r="AZ86" s="93">
        <v>2</v>
      </c>
      <c r="BA86" s="93" t="s">
        <v>196</v>
      </c>
      <c r="BB86" s="35"/>
      <c r="BC86" s="35"/>
      <c r="BD86" s="35"/>
      <c r="BE86" s="35"/>
      <c r="BF86" s="35"/>
      <c r="BG86" s="56"/>
      <c r="BH86" s="469" t="s">
        <v>371</v>
      </c>
      <c r="BI86" s="35"/>
      <c r="BJ86" s="35">
        <v>2</v>
      </c>
      <c r="BK86" s="35" t="s">
        <v>206</v>
      </c>
      <c r="BL86" s="35">
        <v>3</v>
      </c>
      <c r="BM86" s="125" t="s">
        <v>287</v>
      </c>
      <c r="BN86" s="469" t="s">
        <v>248</v>
      </c>
      <c r="BO86" s="125"/>
      <c r="BP86" s="125"/>
      <c r="BQ86" s="125"/>
      <c r="BR86" s="193"/>
      <c r="BS86" s="590" t="s">
        <v>248</v>
      </c>
      <c r="BT86" s="193"/>
      <c r="BU86" s="193"/>
      <c r="BV86" s="592">
        <v>1</v>
      </c>
      <c r="BW86" s="161"/>
      <c r="BX86" s="161"/>
      <c r="BY86" s="161"/>
      <c r="BZ86" s="161"/>
      <c r="CA86" s="161"/>
      <c r="CB86" s="161"/>
      <c r="CC86" s="161"/>
      <c r="CD86" s="161"/>
      <c r="CE86" s="161"/>
      <c r="CF86" s="161"/>
    </row>
    <row r="87" spans="1:84" s="45" customFormat="1" ht="9.75">
      <c r="A87" s="472"/>
      <c r="B87" s="560"/>
      <c r="C87" s="472"/>
      <c r="D87" s="35"/>
      <c r="E87" s="56"/>
      <c r="F87" s="56"/>
      <c r="G87" s="35"/>
      <c r="H87" s="35"/>
      <c r="I87" s="35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56"/>
      <c r="AL87" s="56"/>
      <c r="AM87" s="56"/>
      <c r="AN87" s="56"/>
      <c r="AO87" s="472"/>
      <c r="AP87" s="35"/>
      <c r="AQ87" s="35"/>
      <c r="AR87" s="35"/>
      <c r="AS87" s="35"/>
      <c r="AT87" s="35"/>
      <c r="AU87" s="35"/>
      <c r="AV87" s="35"/>
      <c r="AW87" s="35"/>
      <c r="AX87" s="35"/>
      <c r="AY87" s="93" t="s">
        <v>229</v>
      </c>
      <c r="AZ87" s="93">
        <v>2</v>
      </c>
      <c r="BA87" s="93" t="s">
        <v>196</v>
      </c>
      <c r="BB87" s="35"/>
      <c r="BC87" s="35"/>
      <c r="BD87" s="35"/>
      <c r="BE87" s="35"/>
      <c r="BF87" s="35"/>
      <c r="BG87" s="197"/>
      <c r="BH87" s="472"/>
      <c r="BI87" s="35"/>
      <c r="BJ87" s="35"/>
      <c r="BK87" s="35"/>
      <c r="BL87" s="35"/>
      <c r="BM87" s="125"/>
      <c r="BN87" s="472"/>
      <c r="BO87" s="125"/>
      <c r="BP87" s="125"/>
      <c r="BQ87" s="125"/>
      <c r="BR87" s="193"/>
      <c r="BS87" s="609"/>
      <c r="BT87" s="193"/>
      <c r="BU87" s="425"/>
      <c r="BV87" s="601"/>
      <c r="BW87" s="161"/>
      <c r="BX87" s="161"/>
      <c r="BY87" s="161"/>
      <c r="BZ87" s="161"/>
      <c r="CA87" s="161"/>
      <c r="CB87" s="161"/>
      <c r="CC87" s="161"/>
      <c r="CD87" s="161"/>
      <c r="CE87" s="161"/>
      <c r="CF87" s="161"/>
    </row>
    <row r="88" spans="1:84" s="45" customFormat="1" ht="9.75">
      <c r="A88" s="472"/>
      <c r="B88" s="560"/>
      <c r="C88" s="472"/>
      <c r="D88" s="35"/>
      <c r="E88" s="56"/>
      <c r="F88" s="56"/>
      <c r="G88" s="35"/>
      <c r="H88" s="35"/>
      <c r="I88" s="35"/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56"/>
      <c r="AL88" s="56"/>
      <c r="AM88" s="56"/>
      <c r="AN88" s="56"/>
      <c r="AO88" s="472"/>
      <c r="AP88" s="35"/>
      <c r="AQ88" s="35"/>
      <c r="AR88" s="35"/>
      <c r="AS88" s="35"/>
      <c r="AT88" s="35"/>
      <c r="AU88" s="35"/>
      <c r="AV88" s="35"/>
      <c r="AW88" s="35"/>
      <c r="AX88" s="35"/>
      <c r="AY88" s="93" t="s">
        <v>199</v>
      </c>
      <c r="AZ88" s="93">
        <v>5</v>
      </c>
      <c r="BA88" s="93" t="s">
        <v>196</v>
      </c>
      <c r="BB88" s="35"/>
      <c r="BC88" s="35"/>
      <c r="BD88" s="35"/>
      <c r="BE88" s="35"/>
      <c r="BF88" s="35"/>
      <c r="BG88" s="197"/>
      <c r="BH88" s="472"/>
      <c r="BI88" s="35"/>
      <c r="BJ88" s="35"/>
      <c r="BK88" s="35"/>
      <c r="BL88" s="35"/>
      <c r="BM88" s="125"/>
      <c r="BN88" s="472"/>
      <c r="BO88" s="125"/>
      <c r="BP88" s="125"/>
      <c r="BQ88" s="125"/>
      <c r="BR88" s="193"/>
      <c r="BS88" s="609"/>
      <c r="BT88" s="193"/>
      <c r="BU88" s="425"/>
      <c r="BV88" s="601"/>
      <c r="BW88" s="161"/>
      <c r="BX88" s="161"/>
      <c r="BY88" s="161"/>
      <c r="BZ88" s="161"/>
      <c r="CA88" s="161"/>
      <c r="CB88" s="161"/>
      <c r="CC88" s="161"/>
      <c r="CD88" s="161"/>
      <c r="CE88" s="161"/>
      <c r="CF88" s="161"/>
    </row>
    <row r="89" spans="1:84" s="45" customFormat="1" ht="25.5" customHeight="1">
      <c r="A89" s="478"/>
      <c r="B89" s="538"/>
      <c r="C89" s="478"/>
      <c r="D89" s="35"/>
      <c r="E89" s="56"/>
      <c r="F89" s="56"/>
      <c r="G89" s="35"/>
      <c r="H89" s="35"/>
      <c r="I89" s="35"/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56"/>
      <c r="AL89" s="56"/>
      <c r="AM89" s="56"/>
      <c r="AN89" s="56"/>
      <c r="AO89" s="478"/>
      <c r="AP89" s="35"/>
      <c r="AQ89" s="35"/>
      <c r="AR89" s="35"/>
      <c r="AS89" s="35"/>
      <c r="AT89" s="35"/>
      <c r="AU89" s="35"/>
      <c r="AV89" s="35"/>
      <c r="AW89" s="35"/>
      <c r="AX89" s="35"/>
      <c r="AY89" s="93"/>
      <c r="AZ89" s="93"/>
      <c r="BA89" s="93"/>
      <c r="BB89" s="35"/>
      <c r="BC89" s="35"/>
      <c r="BD89" s="35"/>
      <c r="BE89" s="35"/>
      <c r="BF89" s="35"/>
      <c r="BG89" s="76"/>
      <c r="BH89" s="478"/>
      <c r="BI89" s="35"/>
      <c r="BJ89" s="35"/>
      <c r="BK89" s="35"/>
      <c r="BL89" s="35"/>
      <c r="BM89" s="125"/>
      <c r="BN89" s="478"/>
      <c r="BO89" s="125"/>
      <c r="BP89" s="125"/>
      <c r="BQ89" s="125"/>
      <c r="BR89" s="193"/>
      <c r="BS89" s="610"/>
      <c r="BT89" s="193"/>
      <c r="BU89" s="425"/>
      <c r="BV89" s="602"/>
      <c r="BW89" s="161"/>
      <c r="BX89" s="161"/>
      <c r="BY89" s="161"/>
      <c r="BZ89" s="161"/>
      <c r="CA89" s="161"/>
      <c r="CB89" s="161"/>
      <c r="CC89" s="161"/>
      <c r="CD89" s="161"/>
      <c r="CE89" s="161"/>
      <c r="CF89" s="161"/>
    </row>
    <row r="90" spans="1:84" s="98" customFormat="1" ht="24.75" customHeight="1">
      <c r="A90" s="457">
        <v>23</v>
      </c>
      <c r="B90" s="457" t="s">
        <v>115</v>
      </c>
      <c r="C90" s="457">
        <v>1632.8</v>
      </c>
      <c r="D90" s="89"/>
      <c r="E90" s="92"/>
      <c r="F90" s="92"/>
      <c r="G90" s="89"/>
      <c r="H90" s="89"/>
      <c r="I90" s="89"/>
      <c r="J90" s="92"/>
      <c r="K90" s="92"/>
      <c r="L90" s="92"/>
      <c r="M90" s="92" t="s">
        <v>298</v>
      </c>
      <c r="N90" s="92" t="s">
        <v>299</v>
      </c>
      <c r="O90" s="92"/>
      <c r="P90" s="92"/>
      <c r="Q90" s="92"/>
      <c r="R90" s="92"/>
      <c r="S90" s="92"/>
      <c r="T90" s="89"/>
      <c r="U90" s="89"/>
      <c r="V90" s="89"/>
      <c r="W90" s="89"/>
      <c r="X90" s="89"/>
      <c r="Y90" s="89"/>
      <c r="Z90" s="89"/>
      <c r="AA90" s="89"/>
      <c r="AB90" s="89"/>
      <c r="AC90" s="89"/>
      <c r="AD90" s="89"/>
      <c r="AE90" s="89"/>
      <c r="AF90" s="89"/>
      <c r="AG90" s="89"/>
      <c r="AH90" s="89"/>
      <c r="AI90" s="89"/>
      <c r="AJ90" s="89"/>
      <c r="AK90" s="92"/>
      <c r="AL90" s="92"/>
      <c r="AM90" s="92"/>
      <c r="AN90" s="92"/>
      <c r="AO90" s="92" t="s">
        <v>248</v>
      </c>
      <c r="AP90" s="89"/>
      <c r="AQ90" s="89"/>
      <c r="AR90" s="89"/>
      <c r="AS90" s="89"/>
      <c r="AT90" s="132"/>
      <c r="AU90" s="89"/>
      <c r="AV90" s="89"/>
      <c r="AW90" s="89"/>
      <c r="AX90" s="89"/>
      <c r="AY90" s="194" t="s">
        <v>199</v>
      </c>
      <c r="AZ90" s="194">
        <v>4</v>
      </c>
      <c r="BA90" s="194" t="s">
        <v>287</v>
      </c>
      <c r="BB90" s="89"/>
      <c r="BC90" s="89"/>
      <c r="BD90" s="89"/>
      <c r="BE90" s="89"/>
      <c r="BF90" s="89"/>
      <c r="BG90" s="89"/>
      <c r="BH90" s="89"/>
      <c r="BI90" s="89"/>
      <c r="BJ90" s="89"/>
      <c r="BK90" s="89"/>
      <c r="BL90" s="89"/>
      <c r="BM90" s="130"/>
      <c r="BN90" s="550" t="s">
        <v>248</v>
      </c>
      <c r="BO90" s="89"/>
      <c r="BP90" s="89"/>
      <c r="BQ90" s="89"/>
      <c r="BR90" s="92"/>
      <c r="BS90" s="457" t="s">
        <v>248</v>
      </c>
      <c r="BT90" s="92"/>
      <c r="BU90" s="550">
        <v>1</v>
      </c>
      <c r="BV90" s="103"/>
      <c r="BW90" s="99"/>
      <c r="BX90" s="99"/>
      <c r="BY90" s="99"/>
      <c r="BZ90" s="99"/>
      <c r="CA90" s="99"/>
      <c r="CB90" s="99"/>
      <c r="CC90" s="99"/>
      <c r="CD90" s="99"/>
      <c r="CE90" s="99"/>
      <c r="CF90" s="99"/>
    </row>
    <row r="91" spans="1:84" s="98" customFormat="1" ht="24.75" customHeight="1">
      <c r="A91" s="458"/>
      <c r="B91" s="458"/>
      <c r="C91" s="458"/>
      <c r="D91" s="89"/>
      <c r="E91" s="92"/>
      <c r="F91" s="92"/>
      <c r="G91" s="89"/>
      <c r="H91" s="89"/>
      <c r="I91" s="89"/>
      <c r="J91" s="92"/>
      <c r="K91" s="92"/>
      <c r="L91" s="92"/>
      <c r="M91" s="92" t="s">
        <v>298</v>
      </c>
      <c r="N91" s="92" t="s">
        <v>269</v>
      </c>
      <c r="O91" s="92"/>
      <c r="P91" s="92"/>
      <c r="Q91" s="92"/>
      <c r="R91" s="92"/>
      <c r="S91" s="92"/>
      <c r="T91" s="89"/>
      <c r="U91" s="89"/>
      <c r="V91" s="89"/>
      <c r="W91" s="89"/>
      <c r="X91" s="89"/>
      <c r="Y91" s="89"/>
      <c r="Z91" s="89"/>
      <c r="AA91" s="89"/>
      <c r="AB91" s="89"/>
      <c r="AC91" s="89"/>
      <c r="AD91" s="89"/>
      <c r="AE91" s="89"/>
      <c r="AF91" s="89"/>
      <c r="AG91" s="89"/>
      <c r="AH91" s="89"/>
      <c r="AI91" s="89"/>
      <c r="AJ91" s="89"/>
      <c r="AK91" s="92"/>
      <c r="AL91" s="92"/>
      <c r="AM91" s="92"/>
      <c r="AN91" s="92"/>
      <c r="AO91" s="92"/>
      <c r="AP91" s="89"/>
      <c r="AQ91" s="89"/>
      <c r="AR91" s="89"/>
      <c r="AS91" s="89"/>
      <c r="AT91" s="132"/>
      <c r="AU91" s="89"/>
      <c r="AV91" s="89"/>
      <c r="AW91" s="89"/>
      <c r="AX91" s="89"/>
      <c r="AY91" s="303" t="s">
        <v>201</v>
      </c>
      <c r="AZ91" s="303">
        <v>2</v>
      </c>
      <c r="BA91" s="303" t="s">
        <v>287</v>
      </c>
      <c r="BB91" s="89"/>
      <c r="BC91" s="89"/>
      <c r="BD91" s="89"/>
      <c r="BE91" s="89"/>
      <c r="BF91" s="89"/>
      <c r="BG91" s="89"/>
      <c r="BH91" s="89"/>
      <c r="BI91" s="89"/>
      <c r="BJ91" s="89"/>
      <c r="BK91" s="89"/>
      <c r="BL91" s="89"/>
      <c r="BM91" s="130"/>
      <c r="BN91" s="458"/>
      <c r="BO91" s="89"/>
      <c r="BP91" s="89"/>
      <c r="BQ91" s="89"/>
      <c r="BR91" s="92"/>
      <c r="BS91" s="458"/>
      <c r="BT91" s="92"/>
      <c r="BU91" s="458"/>
      <c r="BV91" s="103"/>
      <c r="BW91" s="99"/>
      <c r="BX91" s="99"/>
      <c r="BY91" s="99"/>
      <c r="BZ91" s="99"/>
      <c r="CA91" s="99"/>
      <c r="CB91" s="99"/>
      <c r="CC91" s="99"/>
      <c r="CD91" s="99"/>
      <c r="CE91" s="99"/>
      <c r="CF91" s="99"/>
    </row>
    <row r="92" spans="1:84" s="98" customFormat="1" ht="24.75" customHeight="1">
      <c r="A92" s="458"/>
      <c r="B92" s="458"/>
      <c r="C92" s="458"/>
      <c r="D92" s="89"/>
      <c r="E92" s="92"/>
      <c r="F92" s="92"/>
      <c r="G92" s="89"/>
      <c r="H92" s="89"/>
      <c r="I92" s="89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89"/>
      <c r="U92" s="89"/>
      <c r="V92" s="89"/>
      <c r="W92" s="89"/>
      <c r="X92" s="89"/>
      <c r="Y92" s="89"/>
      <c r="Z92" s="89"/>
      <c r="AA92" s="89"/>
      <c r="AB92" s="89"/>
      <c r="AC92" s="89"/>
      <c r="AD92" s="89"/>
      <c r="AE92" s="89"/>
      <c r="AF92" s="89"/>
      <c r="AG92" s="89"/>
      <c r="AH92" s="89"/>
      <c r="AI92" s="89"/>
      <c r="AJ92" s="89"/>
      <c r="AK92" s="92"/>
      <c r="AL92" s="92"/>
      <c r="AM92" s="92"/>
      <c r="AN92" s="92"/>
      <c r="AO92" s="92"/>
      <c r="AP92" s="89"/>
      <c r="AQ92" s="89"/>
      <c r="AR92" s="89"/>
      <c r="AS92" s="89"/>
      <c r="AT92" s="132"/>
      <c r="AU92" s="89"/>
      <c r="AV92" s="89"/>
      <c r="AW92" s="89"/>
      <c r="AX92" s="89"/>
      <c r="AY92" s="387" t="s">
        <v>199</v>
      </c>
      <c r="AZ92" s="387">
        <v>8</v>
      </c>
      <c r="BA92" s="387" t="s">
        <v>400</v>
      </c>
      <c r="BB92" s="89"/>
      <c r="BC92" s="89"/>
      <c r="BD92" s="89"/>
      <c r="BE92" s="89"/>
      <c r="BF92" s="89"/>
      <c r="BG92" s="89"/>
      <c r="BH92" s="89"/>
      <c r="BI92" s="89"/>
      <c r="BJ92" s="89"/>
      <c r="BK92" s="89"/>
      <c r="BL92" s="89"/>
      <c r="BM92" s="130"/>
      <c r="BN92" s="458"/>
      <c r="BO92" s="89"/>
      <c r="BP92" s="89"/>
      <c r="BQ92" s="89"/>
      <c r="BR92" s="92"/>
      <c r="BS92" s="458"/>
      <c r="BT92" s="92"/>
      <c r="BU92" s="458"/>
      <c r="BV92" s="103"/>
      <c r="BW92" s="99"/>
      <c r="BX92" s="99"/>
      <c r="BY92" s="99"/>
      <c r="BZ92" s="99"/>
      <c r="CA92" s="99"/>
      <c r="CB92" s="99"/>
      <c r="CC92" s="99"/>
      <c r="CD92" s="99"/>
      <c r="CE92" s="99"/>
      <c r="CF92" s="99"/>
    </row>
    <row r="93" spans="1:84" s="98" customFormat="1" ht="24.75" customHeight="1">
      <c r="A93" s="473"/>
      <c r="B93" s="473"/>
      <c r="C93" s="473"/>
      <c r="D93" s="89"/>
      <c r="E93" s="92"/>
      <c r="F93" s="92"/>
      <c r="G93" s="89"/>
      <c r="H93" s="89"/>
      <c r="I93" s="89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89"/>
      <c r="U93" s="89"/>
      <c r="V93" s="89"/>
      <c r="W93" s="89"/>
      <c r="X93" s="89"/>
      <c r="Y93" s="89"/>
      <c r="Z93" s="89"/>
      <c r="AA93" s="89"/>
      <c r="AB93" s="89"/>
      <c r="AC93" s="89"/>
      <c r="AD93" s="89"/>
      <c r="AE93" s="89"/>
      <c r="AF93" s="89"/>
      <c r="AG93" s="89"/>
      <c r="AH93" s="89"/>
      <c r="AI93" s="89"/>
      <c r="AJ93" s="89"/>
      <c r="AK93" s="92"/>
      <c r="AL93" s="92"/>
      <c r="AM93" s="92"/>
      <c r="AN93" s="92"/>
      <c r="AO93" s="92"/>
      <c r="AP93" s="89"/>
      <c r="AQ93" s="89"/>
      <c r="AR93" s="89"/>
      <c r="AS93" s="89"/>
      <c r="AT93" s="132"/>
      <c r="AU93" s="89"/>
      <c r="AV93" s="89"/>
      <c r="AW93" s="89"/>
      <c r="AX93" s="89"/>
      <c r="AY93" s="303"/>
      <c r="AZ93" s="303"/>
      <c r="BA93" s="303"/>
      <c r="BB93" s="89"/>
      <c r="BC93" s="89"/>
      <c r="BD93" s="89"/>
      <c r="BE93" s="89"/>
      <c r="BF93" s="89"/>
      <c r="BG93" s="89"/>
      <c r="BH93" s="89"/>
      <c r="BI93" s="89"/>
      <c r="BJ93" s="89"/>
      <c r="BK93" s="89"/>
      <c r="BL93" s="89"/>
      <c r="BM93" s="130"/>
      <c r="BN93" s="551"/>
      <c r="BO93" s="89"/>
      <c r="BP93" s="89"/>
      <c r="BQ93" s="89"/>
      <c r="BR93" s="92"/>
      <c r="BS93" s="473"/>
      <c r="BT93" s="92"/>
      <c r="BU93" s="551"/>
      <c r="BV93" s="103"/>
      <c r="BW93" s="99"/>
      <c r="BX93" s="99"/>
      <c r="BY93" s="99"/>
      <c r="BZ93" s="99"/>
      <c r="CA93" s="99"/>
      <c r="CB93" s="99"/>
      <c r="CC93" s="99"/>
      <c r="CD93" s="99"/>
      <c r="CE93" s="99"/>
      <c r="CF93" s="99"/>
    </row>
    <row r="94" spans="1:84" ht="12" customHeight="1">
      <c r="A94" s="63">
        <v>23</v>
      </c>
      <c r="B94" s="65" t="s">
        <v>29</v>
      </c>
      <c r="C94" s="199">
        <f>SUM(C4:C90)</f>
        <v>103861.58999999998</v>
      </c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3"/>
      <c r="Q94" s="63"/>
      <c r="R94" s="64"/>
      <c r="S94" s="64"/>
      <c r="T94" s="64"/>
      <c r="U94" s="64"/>
      <c r="V94" s="64"/>
      <c r="W94" s="63"/>
      <c r="X94" s="63"/>
      <c r="Y94" s="64"/>
      <c r="Z94" s="64"/>
      <c r="AA94" s="64"/>
      <c r="AB94" s="64"/>
      <c r="AC94" s="64"/>
      <c r="AD94" s="64"/>
      <c r="AE94" s="64"/>
      <c r="AF94" s="64"/>
      <c r="AG94" s="64"/>
      <c r="AH94" s="64"/>
      <c r="AI94" s="64"/>
      <c r="AJ94" s="63"/>
      <c r="AK94" s="63"/>
      <c r="AL94" s="63"/>
      <c r="AM94" s="63"/>
      <c r="AN94" s="63"/>
      <c r="AO94" s="63"/>
      <c r="AP94" s="64"/>
      <c r="AQ94" s="64"/>
      <c r="AR94" s="65"/>
      <c r="AS94" s="64"/>
      <c r="AT94" s="63"/>
      <c r="AU94" s="63"/>
      <c r="AV94" s="64"/>
      <c r="AW94" s="64"/>
      <c r="AX94" s="65"/>
      <c r="AY94" s="64"/>
      <c r="AZ94" s="65"/>
      <c r="BA94" s="63"/>
      <c r="BB94" s="64"/>
      <c r="BC94" s="64"/>
      <c r="BD94" s="64"/>
      <c r="BE94" s="64"/>
      <c r="BF94" s="64"/>
      <c r="BG94" s="64"/>
      <c r="BH94" s="64"/>
      <c r="BI94" s="64"/>
      <c r="BJ94" s="64"/>
      <c r="BK94" s="64"/>
      <c r="BL94" s="64"/>
      <c r="BM94" s="64"/>
      <c r="BN94" s="64"/>
      <c r="BO94" s="64"/>
      <c r="BP94" s="64"/>
      <c r="BQ94" s="64"/>
      <c r="BR94" s="162"/>
      <c r="BS94" s="162"/>
      <c r="BT94" s="162"/>
      <c r="BU94" s="162"/>
      <c r="BV94" s="155"/>
      <c r="BW94" s="155"/>
      <c r="BX94" s="155"/>
      <c r="BY94" s="155"/>
      <c r="BZ94" s="155"/>
      <c r="CA94" s="155"/>
      <c r="CB94" s="155"/>
      <c r="CC94" s="155"/>
      <c r="CD94" s="155"/>
      <c r="CE94" s="155"/>
      <c r="CF94" s="155"/>
    </row>
    <row r="95" spans="1:69" ht="9.75">
      <c r="A95" s="163"/>
      <c r="B95" s="164"/>
      <c r="C95" s="164"/>
      <c r="D95" s="165"/>
      <c r="E95" s="165"/>
      <c r="F95" s="165"/>
      <c r="G95" s="165"/>
      <c r="H95" s="165"/>
      <c r="I95" s="165"/>
      <c r="J95" s="165"/>
      <c r="K95" s="165"/>
      <c r="L95" s="165"/>
      <c r="M95" s="165"/>
      <c r="N95" s="165"/>
      <c r="O95" s="165"/>
      <c r="P95" s="163"/>
      <c r="Q95" s="163"/>
      <c r="R95" s="165"/>
      <c r="S95" s="165"/>
      <c r="T95" s="165"/>
      <c r="U95" s="165"/>
      <c r="V95" s="165"/>
      <c r="W95" s="163"/>
      <c r="X95" s="163"/>
      <c r="Y95" s="165"/>
      <c r="Z95" s="165"/>
      <c r="AA95" s="165"/>
      <c r="AB95" s="165"/>
      <c r="AC95" s="165"/>
      <c r="AD95" s="165"/>
      <c r="AE95" s="165"/>
      <c r="AF95" s="165"/>
      <c r="AG95" s="165"/>
      <c r="AH95" s="165"/>
      <c r="AI95" s="165"/>
      <c r="AJ95" s="163"/>
      <c r="AK95" s="163"/>
      <c r="AL95" s="163"/>
      <c r="AM95" s="163"/>
      <c r="AN95" s="163"/>
      <c r="AO95" s="163"/>
      <c r="AP95" s="165"/>
      <c r="AQ95" s="165"/>
      <c r="AR95" s="164"/>
      <c r="AS95" s="165"/>
      <c r="AT95" s="163"/>
      <c r="AU95" s="163"/>
      <c r="AV95" s="165"/>
      <c r="AW95" s="165"/>
      <c r="AX95" s="165"/>
      <c r="AY95" s="165"/>
      <c r="AZ95" s="164"/>
      <c r="BA95" s="163"/>
      <c r="BB95" s="165"/>
      <c r="BC95" s="165"/>
      <c r="BD95" s="165"/>
      <c r="BE95" s="165"/>
      <c r="BF95" s="165"/>
      <c r="BG95" s="165"/>
      <c r="BH95" s="165"/>
      <c r="BI95" s="165"/>
      <c r="BJ95" s="165"/>
      <c r="BK95" s="165"/>
      <c r="BL95" s="165"/>
      <c r="BM95" s="165"/>
      <c r="BN95" s="165"/>
      <c r="BO95" s="165"/>
      <c r="BP95" s="165"/>
      <c r="BQ95" s="165"/>
    </row>
    <row r="96" spans="1:69" ht="9.75">
      <c r="A96" s="163"/>
      <c r="B96" s="164"/>
      <c r="C96" s="164"/>
      <c r="D96" s="165"/>
      <c r="E96" s="165"/>
      <c r="F96" s="165"/>
      <c r="G96" s="165"/>
      <c r="H96" s="165"/>
      <c r="I96" s="165"/>
      <c r="J96" s="165"/>
      <c r="K96" s="165"/>
      <c r="L96" s="165"/>
      <c r="M96" s="165"/>
      <c r="N96" s="165"/>
      <c r="O96" s="165"/>
      <c r="P96" s="163"/>
      <c r="Q96" s="163"/>
      <c r="R96" s="165"/>
      <c r="S96" s="165"/>
      <c r="T96" s="165"/>
      <c r="U96" s="165"/>
      <c r="V96" s="165"/>
      <c r="W96" s="163"/>
      <c r="X96" s="163"/>
      <c r="Y96" s="165"/>
      <c r="Z96" s="165"/>
      <c r="AA96" s="165"/>
      <c r="AB96" s="165"/>
      <c r="AC96" s="165"/>
      <c r="AD96" s="165"/>
      <c r="AE96" s="165"/>
      <c r="AF96" s="165"/>
      <c r="AG96" s="165"/>
      <c r="AH96" s="165"/>
      <c r="AI96" s="165"/>
      <c r="AJ96" s="163"/>
      <c r="AK96" s="163"/>
      <c r="AL96" s="163"/>
      <c r="AM96" s="163"/>
      <c r="AN96" s="163"/>
      <c r="AO96" s="163"/>
      <c r="AP96" s="165"/>
      <c r="AQ96" s="165"/>
      <c r="AR96" s="165"/>
      <c r="AS96" s="165"/>
      <c r="AT96" s="163"/>
      <c r="AU96" s="163"/>
      <c r="AV96" s="165"/>
      <c r="AW96" s="165"/>
      <c r="AX96" s="165"/>
      <c r="AY96" s="165"/>
      <c r="AZ96" s="165"/>
      <c r="BA96" s="163"/>
      <c r="BB96" s="165"/>
      <c r="BC96" s="165"/>
      <c r="BD96" s="165"/>
      <c r="BE96" s="165"/>
      <c r="BF96" s="165"/>
      <c r="BG96" s="165"/>
      <c r="BH96" s="165"/>
      <c r="BI96" s="165"/>
      <c r="BJ96" s="165"/>
      <c r="BK96" s="165"/>
      <c r="BL96" s="165"/>
      <c r="BM96" s="165"/>
      <c r="BN96" s="165"/>
      <c r="BO96" s="165"/>
      <c r="BP96" s="165"/>
      <c r="BQ96" s="165"/>
    </row>
    <row r="100" spans="2:69" ht="9.75">
      <c r="B100" s="168"/>
      <c r="C100" s="168"/>
      <c r="D100" s="169"/>
      <c r="E100" s="169"/>
      <c r="F100" s="169"/>
      <c r="G100" s="169"/>
      <c r="H100" s="169"/>
      <c r="I100" s="169"/>
      <c r="J100" s="169"/>
      <c r="K100" s="169"/>
      <c r="L100" s="169"/>
      <c r="M100" s="169"/>
      <c r="N100" s="169"/>
      <c r="O100" s="169"/>
      <c r="P100" s="169"/>
      <c r="Q100" s="169"/>
      <c r="R100" s="169"/>
      <c r="S100" s="169"/>
      <c r="T100" s="169"/>
      <c r="U100" s="169"/>
      <c r="V100" s="169"/>
      <c r="W100" s="169"/>
      <c r="X100" s="169"/>
      <c r="Y100" s="169"/>
      <c r="Z100" s="169"/>
      <c r="AA100" s="169"/>
      <c r="AB100" s="169"/>
      <c r="AC100" s="169"/>
      <c r="AD100" s="169"/>
      <c r="AE100" s="169"/>
      <c r="AF100" s="169"/>
      <c r="AG100" s="169"/>
      <c r="AH100" s="169"/>
      <c r="AI100" s="169"/>
      <c r="AJ100" s="169"/>
      <c r="AK100" s="169"/>
      <c r="AL100" s="169"/>
      <c r="AM100" s="169"/>
      <c r="AN100" s="169"/>
      <c r="AO100" s="169"/>
      <c r="AP100" s="169"/>
      <c r="AQ100" s="169"/>
      <c r="AR100" s="169"/>
      <c r="AS100" s="169"/>
      <c r="AT100" s="169"/>
      <c r="AU100" s="169"/>
      <c r="AV100" s="169"/>
      <c r="AW100" s="169"/>
      <c r="AX100" s="169"/>
      <c r="AY100" s="169"/>
      <c r="AZ100" s="169"/>
      <c r="BA100" s="169"/>
      <c r="BB100" s="169"/>
      <c r="BC100" s="169"/>
      <c r="BD100" s="169"/>
      <c r="BE100" s="169"/>
      <c r="BF100" s="169"/>
      <c r="BG100" s="169"/>
      <c r="BH100" s="169"/>
      <c r="BI100" s="169"/>
      <c r="BJ100" s="169"/>
      <c r="BK100" s="169"/>
      <c r="BL100" s="169"/>
      <c r="BM100" s="169"/>
      <c r="BN100" s="169"/>
      <c r="BO100" s="169"/>
      <c r="BP100" s="169"/>
      <c r="BQ100" s="169"/>
    </row>
  </sheetData>
  <sheetProtection/>
  <mergeCells count="280">
    <mergeCell ref="BT81:BT84"/>
    <mergeCell ref="BS86:BS89"/>
    <mergeCell ref="BX69:BX76"/>
    <mergeCell ref="BY69:BY76"/>
    <mergeCell ref="BU63:BU68"/>
    <mergeCell ref="BU69:BU76"/>
    <mergeCell ref="BS69:BS76"/>
    <mergeCell ref="BU32:BU35"/>
    <mergeCell ref="BS32:BS35"/>
    <mergeCell ref="BS36:BS39"/>
    <mergeCell ref="BS40:BS43"/>
    <mergeCell ref="BS44:BS47"/>
    <mergeCell ref="BT69:BT76"/>
    <mergeCell ref="BU14:BU17"/>
    <mergeCell ref="BU90:BU93"/>
    <mergeCell ref="BU10:BU13"/>
    <mergeCell ref="BU18:BU21"/>
    <mergeCell ref="BU22:BU25"/>
    <mergeCell ref="BU26:BU31"/>
    <mergeCell ref="BU36:BU39"/>
    <mergeCell ref="BU40:BU43"/>
    <mergeCell ref="BU44:BU47"/>
    <mergeCell ref="BU77:BU78"/>
    <mergeCell ref="BG81:BG84"/>
    <mergeCell ref="BN86:BN89"/>
    <mergeCell ref="BN90:BN93"/>
    <mergeCell ref="CC81:CC84"/>
    <mergeCell ref="BV86:BV89"/>
    <mergeCell ref="CB81:CB84"/>
    <mergeCell ref="BJ81:BJ84"/>
    <mergeCell ref="BS81:BS84"/>
    <mergeCell ref="BR81:BR84"/>
    <mergeCell ref="CA81:CA84"/>
    <mergeCell ref="V81:V84"/>
    <mergeCell ref="AD69:AD76"/>
    <mergeCell ref="CD4:CD9"/>
    <mergeCell ref="BX2:BY2"/>
    <mergeCell ref="BD2:BF2"/>
    <mergeCell ref="BN63:BN68"/>
    <mergeCell ref="BN69:BN76"/>
    <mergeCell ref="BN77:BN78"/>
    <mergeCell ref="AG2:AH2"/>
    <mergeCell ref="BN81:BN84"/>
    <mergeCell ref="A90:A93"/>
    <mergeCell ref="B90:B93"/>
    <mergeCell ref="C90:C93"/>
    <mergeCell ref="BS90:BS93"/>
    <mergeCell ref="A86:A89"/>
    <mergeCell ref="B86:B89"/>
    <mergeCell ref="C86:C89"/>
    <mergeCell ref="AO86:AO89"/>
    <mergeCell ref="BH86:BH89"/>
    <mergeCell ref="AM69:AM76"/>
    <mergeCell ref="AM77:AM78"/>
    <mergeCell ref="AM81:AM84"/>
    <mergeCell ref="AM63:AM68"/>
    <mergeCell ref="BI81:BI84"/>
    <mergeCell ref="AO81:AO84"/>
    <mergeCell ref="BI77:BI78"/>
    <mergeCell ref="AP81:AP84"/>
    <mergeCell ref="AP77:AP78"/>
    <mergeCell ref="AO77:AO78"/>
    <mergeCell ref="BN4:BN9"/>
    <mergeCell ref="BN10:BN13"/>
    <mergeCell ref="BN14:BN17"/>
    <mergeCell ref="BN18:BN21"/>
    <mergeCell ref="BN22:BN25"/>
    <mergeCell ref="BN26:BN31"/>
    <mergeCell ref="BI40:BI43"/>
    <mergeCell ref="AO14:AO17"/>
    <mergeCell ref="AO10:AO13"/>
    <mergeCell ref="BI18:BI21"/>
    <mergeCell ref="AM18:AM21"/>
    <mergeCell ref="AM22:AM25"/>
    <mergeCell ref="AM26:AM31"/>
    <mergeCell ref="AM32:AM35"/>
    <mergeCell ref="AO18:AO21"/>
    <mergeCell ref="BI32:BI35"/>
    <mergeCell ref="BI4:BI9"/>
    <mergeCell ref="BI10:BI13"/>
    <mergeCell ref="BI14:BI17"/>
    <mergeCell ref="BI26:BI31"/>
    <mergeCell ref="AO22:AO25"/>
    <mergeCell ref="AP26:AP31"/>
    <mergeCell ref="AP10:AP13"/>
    <mergeCell ref="AP14:AP17"/>
    <mergeCell ref="AP18:AP21"/>
    <mergeCell ref="AP22:AP25"/>
    <mergeCell ref="AM56:AM62"/>
    <mergeCell ref="AO48:AO53"/>
    <mergeCell ref="AO36:AO39"/>
    <mergeCell ref="AO40:AO43"/>
    <mergeCell ref="AM40:AM43"/>
    <mergeCell ref="AP44:AP47"/>
    <mergeCell ref="AM44:AM47"/>
    <mergeCell ref="AM48:AM53"/>
    <mergeCell ref="AP36:AP39"/>
    <mergeCell ref="BS48:BS53"/>
    <mergeCell ref="BS56:BS62"/>
    <mergeCell ref="BS77:BS78"/>
    <mergeCell ref="BS22:BS25"/>
    <mergeCell ref="BS26:BS31"/>
    <mergeCell ref="BV4:BV9"/>
    <mergeCell ref="BV10:BV13"/>
    <mergeCell ref="BV14:BV17"/>
    <mergeCell ref="BS63:BS68"/>
    <mergeCell ref="BS4:BS9"/>
    <mergeCell ref="BS10:BS13"/>
    <mergeCell ref="BS14:BS17"/>
    <mergeCell ref="BS18:BS21"/>
    <mergeCell ref="BV18:BV21"/>
    <mergeCell ref="BV22:BV25"/>
    <mergeCell ref="BV63:BV68"/>
    <mergeCell ref="BV32:BV35"/>
    <mergeCell ref="BV36:BV39"/>
    <mergeCell ref="BV40:BV43"/>
    <mergeCell ref="BV44:BV47"/>
    <mergeCell ref="BV56:BV62"/>
    <mergeCell ref="BV48:BV53"/>
    <mergeCell ref="BV69:BV76"/>
    <mergeCell ref="BV77:BV78"/>
    <mergeCell ref="BV81:BV84"/>
    <mergeCell ref="BI44:BI47"/>
    <mergeCell ref="BI48:BI53"/>
    <mergeCell ref="BI56:BI62"/>
    <mergeCell ref="BI63:BI68"/>
    <mergeCell ref="BI69:BI76"/>
    <mergeCell ref="BR69:BR76"/>
    <mergeCell ref="BR77:BR78"/>
    <mergeCell ref="BR26:BR31"/>
    <mergeCell ref="BR36:BR39"/>
    <mergeCell ref="BR18:BR21"/>
    <mergeCell ref="BR40:BR43"/>
    <mergeCell ref="BR44:BR47"/>
    <mergeCell ref="BR48:BR53"/>
    <mergeCell ref="BR63:BR68"/>
    <mergeCell ref="BB2:BC2"/>
    <mergeCell ref="BK2:BM2"/>
    <mergeCell ref="AO69:AO76"/>
    <mergeCell ref="AO44:AO47"/>
    <mergeCell ref="AO56:AO62"/>
    <mergeCell ref="AO63:AO68"/>
    <mergeCell ref="AY2:BA2"/>
    <mergeCell ref="AO26:AO31"/>
    <mergeCell ref="AV2:AX2"/>
    <mergeCell ref="BI36:BI39"/>
    <mergeCell ref="B32:B35"/>
    <mergeCell ref="A36:A39"/>
    <mergeCell ref="A40:A43"/>
    <mergeCell ref="B40:B43"/>
    <mergeCell ref="B63:B68"/>
    <mergeCell ref="A63:A68"/>
    <mergeCell ref="B44:B47"/>
    <mergeCell ref="A48:A53"/>
    <mergeCell ref="B48:B53"/>
    <mergeCell ref="A56:A62"/>
    <mergeCell ref="B10:B13"/>
    <mergeCell ref="B14:B17"/>
    <mergeCell ref="A26:A31"/>
    <mergeCell ref="B26:B31"/>
    <mergeCell ref="A22:A25"/>
    <mergeCell ref="B22:B25"/>
    <mergeCell ref="A10:A13"/>
    <mergeCell ref="AQ2:AR2"/>
    <mergeCell ref="W2:X2"/>
    <mergeCell ref="Y2:Z2"/>
    <mergeCell ref="AA2:AB2"/>
    <mergeCell ref="AO4:AO9"/>
    <mergeCell ref="AP4:AP9"/>
    <mergeCell ref="D2:E2"/>
    <mergeCell ref="T2:U2"/>
    <mergeCell ref="AI2:AJ2"/>
    <mergeCell ref="AK2:AL2"/>
    <mergeCell ref="A77:A78"/>
    <mergeCell ref="B77:B78"/>
    <mergeCell ref="B36:B39"/>
    <mergeCell ref="A32:A35"/>
    <mergeCell ref="A44:A47"/>
    <mergeCell ref="I10:I13"/>
    <mergeCell ref="B81:B84"/>
    <mergeCell ref="A81:A84"/>
    <mergeCell ref="A69:A76"/>
    <mergeCell ref="B69:B76"/>
    <mergeCell ref="B56:B62"/>
    <mergeCell ref="A4:A9"/>
    <mergeCell ref="A18:A21"/>
    <mergeCell ref="A14:A17"/>
    <mergeCell ref="B18:B21"/>
    <mergeCell ref="B4:B9"/>
    <mergeCell ref="AP63:AP68"/>
    <mergeCell ref="AP56:AP62"/>
    <mergeCell ref="AP48:AP53"/>
    <mergeCell ref="BN32:BN35"/>
    <mergeCell ref="AM36:AM39"/>
    <mergeCell ref="AO32:AO35"/>
    <mergeCell ref="AP40:AP43"/>
    <mergeCell ref="BN36:BN39"/>
    <mergeCell ref="AP32:AP35"/>
    <mergeCell ref="BN48:BN53"/>
    <mergeCell ref="I14:I17"/>
    <mergeCell ref="I18:I21"/>
    <mergeCell ref="O2:P2"/>
    <mergeCell ref="AM4:AM9"/>
    <mergeCell ref="R2:S2"/>
    <mergeCell ref="BR10:BR13"/>
    <mergeCell ref="BR14:BR17"/>
    <mergeCell ref="AM10:AM13"/>
    <mergeCell ref="AM14:AM17"/>
    <mergeCell ref="AE2:AF2"/>
    <mergeCell ref="I22:I25"/>
    <mergeCell ref="I26:I31"/>
    <mergeCell ref="C32:C35"/>
    <mergeCell ref="C36:C39"/>
    <mergeCell ref="C40:C43"/>
    <mergeCell ref="BR32:BR35"/>
    <mergeCell ref="BR22:BR25"/>
    <mergeCell ref="BN40:BN43"/>
    <mergeCell ref="BI22:BI25"/>
    <mergeCell ref="H32:H35"/>
    <mergeCell ref="C4:C9"/>
    <mergeCell ref="C10:C13"/>
    <mergeCell ref="C14:C17"/>
    <mergeCell ref="C18:C21"/>
    <mergeCell ref="C22:C25"/>
    <mergeCell ref="C26:C31"/>
    <mergeCell ref="C44:C47"/>
    <mergeCell ref="C48:C53"/>
    <mergeCell ref="C56:C62"/>
    <mergeCell ref="CF81:CF84"/>
    <mergeCell ref="CF77:CF78"/>
    <mergeCell ref="CF69:CF76"/>
    <mergeCell ref="C69:C76"/>
    <mergeCell ref="C77:C78"/>
    <mergeCell ref="C81:C84"/>
    <mergeCell ref="C63:C68"/>
    <mergeCell ref="K2:L2"/>
    <mergeCell ref="BR2:BR3"/>
    <mergeCell ref="BO2:BQ2"/>
    <mergeCell ref="CF40:CF43"/>
    <mergeCell ref="CF36:CF39"/>
    <mergeCell ref="CF32:CF35"/>
    <mergeCell ref="BR4:BR9"/>
    <mergeCell ref="AC10:AC13"/>
    <mergeCell ref="AC14:AC17"/>
    <mergeCell ref="CF4:CF9"/>
    <mergeCell ref="CE40:CE43"/>
    <mergeCell ref="BZ63:BZ68"/>
    <mergeCell ref="BW77:BW78"/>
    <mergeCell ref="J18:J21"/>
    <mergeCell ref="M2:N2"/>
    <mergeCell ref="CF26:CF31"/>
    <mergeCell ref="CF22:CF25"/>
    <mergeCell ref="CF18:CF21"/>
    <mergeCell ref="BV26:BV31"/>
    <mergeCell ref="BW69:BW76"/>
    <mergeCell ref="BW48:BW53"/>
    <mergeCell ref="BW56:BW62"/>
    <mergeCell ref="BW63:BW68"/>
    <mergeCell ref="CF14:CF17"/>
    <mergeCell ref="CF10:CF13"/>
    <mergeCell ref="CF63:CF68"/>
    <mergeCell ref="CF56:CF62"/>
    <mergeCell ref="CF48:CF53"/>
    <mergeCell ref="CF44:CF47"/>
    <mergeCell ref="BW26:BW31"/>
    <mergeCell ref="BW4:BW9"/>
    <mergeCell ref="BW10:BW13"/>
    <mergeCell ref="BW14:BW17"/>
    <mergeCell ref="BW18:BW21"/>
    <mergeCell ref="BW22:BW25"/>
    <mergeCell ref="H36:H39"/>
    <mergeCell ref="BW81:BW84"/>
    <mergeCell ref="BW32:BW35"/>
    <mergeCell ref="BW36:BW39"/>
    <mergeCell ref="BW40:BW43"/>
    <mergeCell ref="BW44:BW47"/>
    <mergeCell ref="BN44:BN47"/>
    <mergeCell ref="BR56:BR62"/>
    <mergeCell ref="BN56:BN62"/>
    <mergeCell ref="AP69:AP7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AS30"/>
  <sheetViews>
    <sheetView zoomScale="110" zoomScaleNormal="110" zoomScalePageLayoutView="0" workbookViewId="0" topLeftCell="A1">
      <pane xSplit="3" ySplit="4" topLeftCell="L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O15" sqref="AO15"/>
    </sheetView>
  </sheetViews>
  <sheetFormatPr defaultColWidth="9.140625" defaultRowHeight="12.75"/>
  <cols>
    <col min="1" max="1" width="6.28125" style="16" customWidth="1"/>
    <col min="2" max="2" width="22.57421875" style="15" customWidth="1"/>
    <col min="3" max="3" width="8.8515625" style="15" customWidth="1"/>
    <col min="4" max="5" width="9.8515625" style="0" customWidth="1"/>
    <col min="6" max="6" width="9.7109375" style="0" customWidth="1"/>
    <col min="7" max="7" width="9.57421875" style="0" customWidth="1"/>
    <col min="8" max="8" width="9.8515625" style="0" customWidth="1"/>
    <col min="9" max="9" width="12.421875" style="0" customWidth="1"/>
    <col min="10" max="10" width="12.7109375" style="0" customWidth="1"/>
    <col min="11" max="11" width="10.140625" style="0" customWidth="1"/>
    <col min="12" max="12" width="11.421875" style="266" customWidth="1"/>
    <col min="13" max="13" width="11.140625" style="0" customWidth="1"/>
    <col min="14" max="14" width="11.421875" style="0" customWidth="1"/>
    <col min="15" max="15" width="12.140625" style="0" customWidth="1"/>
    <col min="16" max="16" width="10.8515625" style="0" customWidth="1"/>
    <col min="17" max="17" width="12.57421875" style="0" customWidth="1"/>
    <col min="18" max="28" width="9.57421875" style="0" customWidth="1"/>
    <col min="29" max="29" width="11.140625" style="0" bestFit="1" customWidth="1"/>
    <col min="30" max="30" width="11.7109375" style="0" customWidth="1"/>
    <col min="31" max="41" width="9.57421875" style="0" customWidth="1"/>
    <col min="42" max="42" width="11.140625" style="0" bestFit="1" customWidth="1"/>
    <col min="43" max="43" width="14.57421875" style="0" bestFit="1" customWidth="1"/>
    <col min="45" max="45" width="12.7109375" style="0" customWidth="1"/>
  </cols>
  <sheetData>
    <row r="1" spans="1:4" ht="15" customHeight="1">
      <c r="A1" s="1"/>
      <c r="B1" s="2"/>
      <c r="C1" s="2"/>
      <c r="D1" s="3"/>
    </row>
    <row r="2" spans="1:43" ht="12.75">
      <c r="A2" s="604" t="s">
        <v>210</v>
      </c>
      <c r="B2" s="604"/>
      <c r="C2" s="604"/>
      <c r="D2" s="604"/>
      <c r="E2" s="604"/>
      <c r="F2" s="604"/>
      <c r="G2" s="604"/>
      <c r="H2" s="604"/>
      <c r="I2" s="604"/>
      <c r="J2" s="604"/>
      <c r="K2" s="604"/>
      <c r="L2" s="604"/>
      <c r="M2" s="604"/>
      <c r="N2" s="604"/>
      <c r="O2" s="604"/>
      <c r="P2" s="604"/>
      <c r="Q2" s="604"/>
      <c r="R2" s="604"/>
      <c r="S2" s="604"/>
      <c r="T2" s="604"/>
      <c r="U2" s="604"/>
      <c r="V2" s="604"/>
      <c r="W2" s="604"/>
      <c r="X2" s="604"/>
      <c r="Y2" s="604"/>
      <c r="Z2" s="604"/>
      <c r="AA2" s="604"/>
      <c r="AB2" s="604"/>
      <c r="AC2" s="604"/>
      <c r="AD2" s="604"/>
      <c r="AE2" s="604"/>
      <c r="AF2" s="604"/>
      <c r="AG2" s="604"/>
      <c r="AH2" s="604"/>
      <c r="AI2" s="604"/>
      <c r="AJ2" s="604"/>
      <c r="AK2" s="604"/>
      <c r="AL2" s="604"/>
      <c r="AM2" s="604"/>
      <c r="AN2" s="604"/>
      <c r="AO2" s="604"/>
      <c r="AP2" s="604"/>
      <c r="AQ2" s="604"/>
    </row>
    <row r="3" spans="1:4" ht="13.5" thickBot="1">
      <c r="A3" s="608"/>
      <c r="B3" s="608"/>
      <c r="C3" s="608"/>
      <c r="D3" s="3"/>
    </row>
    <row r="4" spans="1:43" ht="45.75" customHeight="1" thickBot="1">
      <c r="A4" s="4" t="s">
        <v>0</v>
      </c>
      <c r="B4" s="5" t="s">
        <v>1</v>
      </c>
      <c r="C4" s="18" t="s">
        <v>2</v>
      </c>
      <c r="D4" s="605" t="s">
        <v>41</v>
      </c>
      <c r="E4" s="606"/>
      <c r="F4" s="606"/>
      <c r="G4" s="606"/>
      <c r="H4" s="606"/>
      <c r="I4" s="606"/>
      <c r="J4" s="606"/>
      <c r="K4" s="606"/>
      <c r="L4" s="606"/>
      <c r="M4" s="606"/>
      <c r="N4" s="606"/>
      <c r="O4" s="606"/>
      <c r="P4" s="607"/>
      <c r="Q4" s="605" t="s">
        <v>42</v>
      </c>
      <c r="R4" s="606"/>
      <c r="S4" s="606"/>
      <c r="T4" s="606"/>
      <c r="U4" s="606"/>
      <c r="V4" s="606"/>
      <c r="W4" s="606"/>
      <c r="X4" s="606"/>
      <c r="Y4" s="606"/>
      <c r="Z4" s="606"/>
      <c r="AA4" s="606"/>
      <c r="AB4" s="606"/>
      <c r="AC4" s="607"/>
      <c r="AD4" s="605" t="s">
        <v>43</v>
      </c>
      <c r="AE4" s="606"/>
      <c r="AF4" s="606"/>
      <c r="AG4" s="606"/>
      <c r="AH4" s="606"/>
      <c r="AI4" s="606"/>
      <c r="AJ4" s="606"/>
      <c r="AK4" s="606"/>
      <c r="AL4" s="606"/>
      <c r="AM4" s="606"/>
      <c r="AN4" s="606"/>
      <c r="AO4" s="606"/>
      <c r="AP4" s="607"/>
      <c r="AQ4" s="19" t="s">
        <v>44</v>
      </c>
    </row>
    <row r="5" spans="1:43" ht="12" customHeight="1">
      <c r="A5" s="13"/>
      <c r="B5" s="20" t="s">
        <v>30</v>
      </c>
      <c r="C5" s="21"/>
      <c r="D5" s="21" t="s">
        <v>45</v>
      </c>
      <c r="E5" s="21" t="s">
        <v>46</v>
      </c>
      <c r="F5" s="21" t="s">
        <v>47</v>
      </c>
      <c r="G5" s="21" t="s">
        <v>48</v>
      </c>
      <c r="H5" s="21" t="s">
        <v>49</v>
      </c>
      <c r="I5" s="21" t="s">
        <v>50</v>
      </c>
      <c r="J5" s="21" t="s">
        <v>51</v>
      </c>
      <c r="K5" s="21" t="s">
        <v>52</v>
      </c>
      <c r="L5" s="265" t="s">
        <v>53</v>
      </c>
      <c r="M5" s="21" t="s">
        <v>54</v>
      </c>
      <c r="N5" s="21" t="s">
        <v>55</v>
      </c>
      <c r="O5" s="21" t="s">
        <v>56</v>
      </c>
      <c r="P5" s="22" t="s">
        <v>57</v>
      </c>
      <c r="Q5" s="22" t="s">
        <v>45</v>
      </c>
      <c r="R5" s="22" t="s">
        <v>46</v>
      </c>
      <c r="S5" s="22" t="s">
        <v>47</v>
      </c>
      <c r="T5" s="22" t="s">
        <v>48</v>
      </c>
      <c r="U5" s="22" t="s">
        <v>49</v>
      </c>
      <c r="V5" s="22" t="s">
        <v>50</v>
      </c>
      <c r="W5" s="22" t="s">
        <v>51</v>
      </c>
      <c r="X5" s="22" t="s">
        <v>52</v>
      </c>
      <c r="Y5" s="22" t="s">
        <v>53</v>
      </c>
      <c r="Z5" s="22" t="s">
        <v>54</v>
      </c>
      <c r="AA5" s="22" t="s">
        <v>55</v>
      </c>
      <c r="AB5" s="22" t="s">
        <v>56</v>
      </c>
      <c r="AC5" s="22" t="s">
        <v>57</v>
      </c>
      <c r="AD5" s="22" t="s">
        <v>45</v>
      </c>
      <c r="AE5" s="22" t="s">
        <v>46</v>
      </c>
      <c r="AF5" s="22" t="s">
        <v>47</v>
      </c>
      <c r="AG5" s="22" t="s">
        <v>48</v>
      </c>
      <c r="AH5" s="22" t="s">
        <v>49</v>
      </c>
      <c r="AI5" s="22" t="s">
        <v>50</v>
      </c>
      <c r="AJ5" s="22" t="s">
        <v>51</v>
      </c>
      <c r="AK5" s="22" t="s">
        <v>52</v>
      </c>
      <c r="AL5" s="22" t="s">
        <v>53</v>
      </c>
      <c r="AM5" s="22" t="s">
        <v>54</v>
      </c>
      <c r="AN5" s="22" t="s">
        <v>55</v>
      </c>
      <c r="AO5" s="90" t="s">
        <v>56</v>
      </c>
      <c r="AP5" s="60" t="s">
        <v>57</v>
      </c>
      <c r="AQ5" s="23"/>
    </row>
    <row r="6" spans="1:45" s="24" customFormat="1" ht="9.75">
      <c r="A6" s="10">
        <v>1</v>
      </c>
      <c r="B6" s="9" t="s">
        <v>31</v>
      </c>
      <c r="C6" s="309">
        <v>4304.1</v>
      </c>
      <c r="D6" s="171"/>
      <c r="E6" s="171"/>
      <c r="F6" s="171"/>
      <c r="G6" s="171"/>
      <c r="H6" s="178"/>
      <c r="I6" s="171">
        <f aca="true" t="shared" si="0" ref="I6:I11">42180.39</f>
        <v>42180.39</v>
      </c>
      <c r="J6" s="171">
        <f>123020+7396.65+7332.09+7332.09</f>
        <v>145080.83</v>
      </c>
      <c r="K6" s="171">
        <f>34200+1466.72</f>
        <v>35666.72</v>
      </c>
      <c r="L6" s="171"/>
      <c r="M6" s="171"/>
      <c r="N6" s="171"/>
      <c r="O6" s="171"/>
      <c r="P6" s="171">
        <f aca="true" t="shared" si="1" ref="P6:P15">SUM(D6:O6)</f>
        <v>222927.93999999997</v>
      </c>
      <c r="Q6" s="171">
        <f>C6*683907.96/201829.17</f>
        <v>14584.652211749173</v>
      </c>
      <c r="R6" s="171">
        <f>C6*683911.01/201830.07</f>
        <v>14584.652218279467</v>
      </c>
      <c r="S6" s="171">
        <f>C6*635251.89/201825.47</f>
        <v>13547.287464505844</v>
      </c>
      <c r="T6" s="171">
        <f>C6*684595.36/202032.03</f>
        <v>14584.652190922401</v>
      </c>
      <c r="U6" s="171">
        <f>C6*610833.18/202041.83</f>
        <v>13012.58798753704</v>
      </c>
      <c r="V6" s="171">
        <f>C6*684618.04/202045.96</f>
        <v>14584.129798804195</v>
      </c>
      <c r="W6" s="171">
        <f>C6*684824.26/202099.58</f>
        <v>14584.652266303574</v>
      </c>
      <c r="X6" s="171">
        <f>C6*684817.69/202097.64</f>
        <v>14584.652346900239</v>
      </c>
      <c r="Y6" s="171">
        <f>C6*642596.4/202097.64</f>
        <v>13685.45998478755</v>
      </c>
      <c r="Z6" s="171">
        <f>C6*684639.99/202094.44</f>
        <v>14581.098722750612</v>
      </c>
      <c r="AA6" s="171">
        <f>C6*684796/202091.24</f>
        <v>14584.652276862671</v>
      </c>
      <c r="AB6" s="171">
        <f>C6*684791.93/202090.04</f>
        <v>14584.652197174093</v>
      </c>
      <c r="AC6" s="171">
        <f aca="true" t="shared" si="2" ref="AC6:AC15">SUM(Q6:AB6)</f>
        <v>171503.12966657686</v>
      </c>
      <c r="AD6" s="171">
        <f>C6*46546.03/201829.17</f>
        <v>992.6155259073801</v>
      </c>
      <c r="AE6" s="171">
        <f>C6*92999.86/201830.07</f>
        <v>1983.2560005850469</v>
      </c>
      <c r="AF6" s="171">
        <f>C6*39949.9/201825.47</f>
        <v>851.9656344167068</v>
      </c>
      <c r="AG6" s="171">
        <f>C6*104729.46/202032.03</f>
        <v>2231.1614093369258</v>
      </c>
      <c r="AH6" s="171">
        <f>C6*23553.08/202041.83</f>
        <v>501.7516007848475</v>
      </c>
      <c r="AI6" s="171">
        <f>C6*9182.06/202045.96</f>
        <v>195.60155741792613</v>
      </c>
      <c r="AJ6" s="180">
        <f>C6*0/202099.58</f>
        <v>0</v>
      </c>
      <c r="AK6" s="180">
        <f>C6*25006.94/202097.64</f>
        <v>532.5760877464971</v>
      </c>
      <c r="AL6" s="171">
        <f>C6*104448.67/202097.64</f>
        <v>2224.4570522792847</v>
      </c>
      <c r="AM6" s="171">
        <f>C6*66355.16/202094.44</f>
        <v>1413.196939787161</v>
      </c>
      <c r="AN6" s="171">
        <f>C6*74770.07/202091.24</f>
        <v>1592.4384366536624</v>
      </c>
      <c r="AO6" s="171">
        <f>C6*35910.93/202090.04</f>
        <v>764.8285576716202</v>
      </c>
      <c r="AP6" s="184">
        <f aca="true" t="shared" si="3" ref="AP6:AP15">SUM(AD6:AO6)</f>
        <v>13283.84880258706</v>
      </c>
      <c r="AQ6" s="171">
        <f aca="true" t="shared" si="4" ref="AQ6:AQ15">P6+AC6+AP6</f>
        <v>407714.9184691639</v>
      </c>
      <c r="AS6" s="143"/>
    </row>
    <row r="7" spans="1:45" s="24" customFormat="1" ht="9.75">
      <c r="A7" s="10">
        <v>2</v>
      </c>
      <c r="B7" s="9" t="s">
        <v>32</v>
      </c>
      <c r="C7" s="310">
        <v>4391.54</v>
      </c>
      <c r="D7" s="171"/>
      <c r="E7" s="171"/>
      <c r="F7" s="171"/>
      <c r="G7" s="171"/>
      <c r="H7" s="171"/>
      <c r="I7" s="171">
        <f t="shared" si="0"/>
        <v>42180.39</v>
      </c>
      <c r="J7" s="171">
        <f>29233+58474+29785+7396.65+76324.95+25385.53</f>
        <v>226599.12999999998</v>
      </c>
      <c r="K7" s="171">
        <f>7463.87</f>
        <v>7463.87</v>
      </c>
      <c r="L7" s="171"/>
      <c r="M7" s="171"/>
      <c r="N7" s="171"/>
      <c r="O7" s="171"/>
      <c r="P7" s="171">
        <f t="shared" si="1"/>
        <v>276243.38999999996</v>
      </c>
      <c r="Q7" s="171">
        <f aca="true" t="shared" si="5" ref="Q7:Q15">C7*683907.96/201829.17</f>
        <v>14880.946905040531</v>
      </c>
      <c r="R7" s="171">
        <f aca="true" t="shared" si="6" ref="R7:R15">C7*683911.01/201830.07</f>
        <v>14880.946911703493</v>
      </c>
      <c r="S7" s="171">
        <f aca="true" t="shared" si="7" ref="S7:S15">C7*635251.89/201825.47</f>
        <v>13822.507560669126</v>
      </c>
      <c r="T7" s="171">
        <f aca="true" t="shared" si="8" ref="T7:T15">C7*684595.36/202032.03</f>
        <v>14880.946883790653</v>
      </c>
      <c r="U7" s="171">
        <f aca="true" t="shared" si="9" ref="U7:U15">C7*610833.18/202041.83</f>
        <v>13276.945389463164</v>
      </c>
      <c r="V7" s="171">
        <f aca="true" t="shared" si="10" ref="V7:V15">C7*684618.04/202045.96</f>
        <v>14880.413879008518</v>
      </c>
      <c r="W7" s="171">
        <f aca="true" t="shared" si="11" ref="W7:W15">C7*684824.26/202099.58</f>
        <v>14880.946960703233</v>
      </c>
      <c r="X7" s="171">
        <f aca="true" t="shared" si="12" ref="X7:X15">C7*684817.69/202097.64</f>
        <v>14880.947042937263</v>
      </c>
      <c r="Y7" s="171">
        <f aca="true" t="shared" si="13" ref="Y7:Y15">C7*642596.4/202097.64</f>
        <v>13963.487126598804</v>
      </c>
      <c r="Z7" s="171">
        <f aca="true" t="shared" si="14" ref="Z7:Z15">C7*684639.99/202094.44</f>
        <v>14877.321225089616</v>
      </c>
      <c r="AA7" s="171">
        <f aca="true" t="shared" si="15" ref="AA7:AA15">C7*684796/202091.24</f>
        <v>14880.946971476846</v>
      </c>
      <c r="AB7" s="171">
        <f aca="true" t="shared" si="16" ref="AB7:AB14">C7*684791.93/202090.04</f>
        <v>14880.946890169353</v>
      </c>
      <c r="AC7" s="171">
        <f t="shared" si="2"/>
        <v>174987.30374665058</v>
      </c>
      <c r="AD7" s="171">
        <f aca="true" t="shared" si="17" ref="AD7:AD15">C7*46546.03/201829.17</f>
        <v>1012.7810196425025</v>
      </c>
      <c r="AE7" s="171">
        <f aca="true" t="shared" si="18" ref="AE7:AE15">C7*92999.86/201830.07</f>
        <v>2023.546863876131</v>
      </c>
      <c r="AF7" s="171">
        <f aca="true" t="shared" si="19" ref="AF7:AF15">C7*39949.9/201825.47</f>
        <v>869.2737534365708</v>
      </c>
      <c r="AG7" s="171">
        <f aca="true" t="shared" si="20" ref="AG7:AG15">C7*104729.46/202032.03</f>
        <v>2276.4885982108876</v>
      </c>
      <c r="AH7" s="171">
        <f aca="true" t="shared" si="21" ref="AH7:AH15">C7*23553.08/202041.83</f>
        <v>511.94494201126577</v>
      </c>
      <c r="AI7" s="171">
        <f aca="true" t="shared" si="22" ref="AI7:AI15">C7*9182.06/202045.96</f>
        <v>199.57530342304295</v>
      </c>
      <c r="AJ7" s="180">
        <f aca="true" t="shared" si="23" ref="AJ7:AJ15">C7*0/202099.58</f>
        <v>0</v>
      </c>
      <c r="AK7" s="180">
        <f aca="true" t="shared" si="24" ref="AK7:AK15">C7*25006.94/202097.64</f>
        <v>543.3956442420604</v>
      </c>
      <c r="AL7" s="171">
        <f aca="true" t="shared" si="25" ref="AL7:AL15">C7*104448.67/202097.64</f>
        <v>2269.6480386995117</v>
      </c>
      <c r="AM7" s="171">
        <f aca="true" t="shared" si="26" ref="AM7:AM15">C7*66355.16/202094.44</f>
        <v>1441.9067607520524</v>
      </c>
      <c r="AN7" s="171">
        <f aca="true" t="shared" si="27" ref="AN7:AN15">C7*74770.07/202091.24</f>
        <v>1624.7896405989693</v>
      </c>
      <c r="AO7" s="171">
        <f aca="true" t="shared" si="28" ref="AO7:AO15">C7*35910.93/202090.04</f>
        <v>780.3664422660315</v>
      </c>
      <c r="AP7" s="184">
        <f t="shared" si="3"/>
        <v>13553.717007159024</v>
      </c>
      <c r="AQ7" s="171">
        <f t="shared" si="4"/>
        <v>464784.41075380956</v>
      </c>
      <c r="AS7" s="143"/>
    </row>
    <row r="8" spans="1:45" s="24" customFormat="1" ht="9.75">
      <c r="A8" s="10">
        <v>3</v>
      </c>
      <c r="B8" s="9" t="s">
        <v>33</v>
      </c>
      <c r="C8" s="310">
        <v>3591.8</v>
      </c>
      <c r="D8" s="171"/>
      <c r="E8" s="171"/>
      <c r="F8" s="171"/>
      <c r="G8" s="171">
        <v>4896.34</v>
      </c>
      <c r="H8" s="171"/>
      <c r="I8" s="171">
        <f t="shared" si="0"/>
        <v>42180.39</v>
      </c>
      <c r="J8" s="171">
        <f>36414+37241+7396.65+5965.1</f>
        <v>87016.75</v>
      </c>
      <c r="K8" s="171">
        <f>10675.52</f>
        <v>10675.52</v>
      </c>
      <c r="L8" s="171">
        <f>28160.7</f>
        <v>28160.7</v>
      </c>
      <c r="M8" s="171"/>
      <c r="N8" s="171"/>
      <c r="O8" s="171">
        <f>10956.64</f>
        <v>10956.64</v>
      </c>
      <c r="P8" s="171">
        <f t="shared" si="1"/>
        <v>183886.33999999997</v>
      </c>
      <c r="Q8" s="171">
        <f t="shared" si="5"/>
        <v>12170.989013768427</v>
      </c>
      <c r="R8" s="171">
        <f t="shared" si="6"/>
        <v>12170.989019217997</v>
      </c>
      <c r="S8" s="171">
        <f t="shared" si="7"/>
        <v>11305.30125113545</v>
      </c>
      <c r="T8" s="171">
        <f t="shared" si="8"/>
        <v>12170.988996388345</v>
      </c>
      <c r="U8" s="171">
        <f t="shared" si="9"/>
        <v>10859.09099083096</v>
      </c>
      <c r="V8" s="171">
        <f t="shared" si="10"/>
        <v>12170.553056700564</v>
      </c>
      <c r="W8" s="171">
        <f t="shared" si="11"/>
        <v>12170.989059294436</v>
      </c>
      <c r="X8" s="171">
        <f t="shared" si="12"/>
        <v>12170.989126552886</v>
      </c>
      <c r="Y8" s="171">
        <f t="shared" si="13"/>
        <v>11420.607135837903</v>
      </c>
      <c r="Z8" s="171">
        <f t="shared" si="14"/>
        <v>12168.023603628088</v>
      </c>
      <c r="AA8" s="171">
        <f t="shared" si="15"/>
        <v>12170.989068106071</v>
      </c>
      <c r="AB8" s="171">
        <f t="shared" si="16"/>
        <v>12170.989001605423</v>
      </c>
      <c r="AC8" s="171">
        <f t="shared" si="2"/>
        <v>143120.49932306656</v>
      </c>
      <c r="AD8" s="171">
        <f t="shared" si="17"/>
        <v>828.3442405971346</v>
      </c>
      <c r="AE8" s="171">
        <f t="shared" si="18"/>
        <v>1655.0402878421437</v>
      </c>
      <c r="AF8" s="171">
        <f t="shared" si="19"/>
        <v>710.9709731878738</v>
      </c>
      <c r="AG8" s="171">
        <f t="shared" si="20"/>
        <v>1861.9189958542713</v>
      </c>
      <c r="AH8" s="171">
        <f t="shared" si="21"/>
        <v>418.7150390787889</v>
      </c>
      <c r="AI8" s="171">
        <f t="shared" si="22"/>
        <v>163.23079713150415</v>
      </c>
      <c r="AJ8" s="180">
        <f t="shared" si="23"/>
        <v>0</v>
      </c>
      <c r="AK8" s="180">
        <f t="shared" si="24"/>
        <v>444.43827791358666</v>
      </c>
      <c r="AL8" s="171">
        <f t="shared" si="25"/>
        <v>1856.3241654182602</v>
      </c>
      <c r="AM8" s="171">
        <f t="shared" si="26"/>
        <v>1179.3222202847344</v>
      </c>
      <c r="AN8" s="171">
        <f t="shared" si="27"/>
        <v>1328.9004383663541</v>
      </c>
      <c r="AO8" s="171">
        <f t="shared" si="28"/>
        <v>638.2545046455531</v>
      </c>
      <c r="AP8" s="184">
        <f t="shared" si="3"/>
        <v>11085.459940320205</v>
      </c>
      <c r="AQ8" s="171">
        <f t="shared" si="4"/>
        <v>338092.29926338675</v>
      </c>
      <c r="AS8" s="143"/>
    </row>
    <row r="9" spans="1:45" s="24" customFormat="1" ht="9.75">
      <c r="A9" s="10">
        <v>4</v>
      </c>
      <c r="B9" s="9" t="s">
        <v>34</v>
      </c>
      <c r="C9" s="310">
        <v>4325.5</v>
      </c>
      <c r="D9" s="171">
        <v>8630.86</v>
      </c>
      <c r="E9" s="171"/>
      <c r="F9" s="171"/>
      <c r="G9" s="171"/>
      <c r="H9" s="171">
        <f>8255.32</f>
        <v>8255.32</v>
      </c>
      <c r="I9" s="171">
        <f t="shared" si="0"/>
        <v>42180.39</v>
      </c>
      <c r="J9" s="171">
        <f>545899.41+12624.06+7396.65+6882.73+46083+3389.26</f>
        <v>622275.1100000001</v>
      </c>
      <c r="K9" s="171">
        <f>4003.34+23794+23794</f>
        <v>51591.34</v>
      </c>
      <c r="L9" s="171">
        <f>8751.13</f>
        <v>8751.13</v>
      </c>
      <c r="M9" s="171"/>
      <c r="N9" s="171"/>
      <c r="O9" s="171">
        <v>2840</v>
      </c>
      <c r="P9" s="171">
        <f t="shared" si="1"/>
        <v>744524.15</v>
      </c>
      <c r="Q9" s="171">
        <f t="shared" si="5"/>
        <v>14657.16715269651</v>
      </c>
      <c r="R9" s="171">
        <f t="shared" si="6"/>
        <v>14657.167159259272</v>
      </c>
      <c r="S9" s="171">
        <f t="shared" si="7"/>
        <v>13614.644624362823</v>
      </c>
      <c r="T9" s="171">
        <f t="shared" si="8"/>
        <v>14657.167131766186</v>
      </c>
      <c r="U9" s="171">
        <f t="shared" si="9"/>
        <v>13077.28661975592</v>
      </c>
      <c r="V9" s="171">
        <f t="shared" si="10"/>
        <v>14656.642142312572</v>
      </c>
      <c r="W9" s="171">
        <f t="shared" si="11"/>
        <v>14657.167207522154</v>
      </c>
      <c r="X9" s="171">
        <f t="shared" si="12"/>
        <v>14657.167288519548</v>
      </c>
      <c r="Y9" s="171">
        <f t="shared" si="13"/>
        <v>13753.50413889049</v>
      </c>
      <c r="Z9" s="171">
        <f t="shared" si="14"/>
        <v>14653.595995738428</v>
      </c>
      <c r="AA9" s="171">
        <f t="shared" si="15"/>
        <v>14657.16721813375</v>
      </c>
      <c r="AB9" s="171">
        <f t="shared" si="16"/>
        <v>14657.16713804896</v>
      </c>
      <c r="AC9" s="171">
        <f t="shared" si="2"/>
        <v>172355.84381700662</v>
      </c>
      <c r="AD9" s="171">
        <f t="shared" si="17"/>
        <v>997.5508137153811</v>
      </c>
      <c r="AE9" s="171">
        <f t="shared" si="18"/>
        <v>1993.1167562395435</v>
      </c>
      <c r="AF9" s="171">
        <f t="shared" si="19"/>
        <v>856.2016104805801</v>
      </c>
      <c r="AG9" s="171">
        <f t="shared" si="20"/>
        <v>2242.25475153618</v>
      </c>
      <c r="AH9" s="171">
        <f t="shared" si="21"/>
        <v>504.2463114692636</v>
      </c>
      <c r="AI9" s="171">
        <f t="shared" si="22"/>
        <v>196.574089034</v>
      </c>
      <c r="AJ9" s="180">
        <f t="shared" si="23"/>
        <v>0</v>
      </c>
      <c r="AK9" s="180">
        <f t="shared" si="24"/>
        <v>535.2240578860792</v>
      </c>
      <c r="AL9" s="171">
        <f t="shared" si="25"/>
        <v>2235.5170603921943</v>
      </c>
      <c r="AM9" s="171">
        <f t="shared" si="26"/>
        <v>1420.2233598311761</v>
      </c>
      <c r="AN9" s="171">
        <f t="shared" si="27"/>
        <v>1600.356046036434</v>
      </c>
      <c r="AO9" s="171">
        <f t="shared" si="28"/>
        <v>768.631287890289</v>
      </c>
      <c r="AP9" s="184">
        <f t="shared" si="3"/>
        <v>13349.89614451112</v>
      </c>
      <c r="AQ9" s="171">
        <f t="shared" si="4"/>
        <v>930229.8899615179</v>
      </c>
      <c r="AS9" s="143"/>
    </row>
    <row r="10" spans="1:45" s="24" customFormat="1" ht="9.75">
      <c r="A10" s="10">
        <v>5</v>
      </c>
      <c r="B10" s="9" t="s">
        <v>35</v>
      </c>
      <c r="C10" s="310">
        <v>4542.6</v>
      </c>
      <c r="D10" s="171"/>
      <c r="E10" s="171"/>
      <c r="F10" s="171"/>
      <c r="G10" s="171"/>
      <c r="H10" s="171"/>
      <c r="I10" s="171">
        <f t="shared" si="0"/>
        <v>42180.39</v>
      </c>
      <c r="J10" s="171">
        <f>7396.65+25685.6</f>
        <v>33082.25</v>
      </c>
      <c r="K10" s="171">
        <f>10832.38</f>
        <v>10832.38</v>
      </c>
      <c r="L10" s="171"/>
      <c r="M10" s="171">
        <f>361890.73</f>
        <v>361890.73</v>
      </c>
      <c r="N10" s="171"/>
      <c r="O10" s="171"/>
      <c r="P10" s="171">
        <f t="shared" si="1"/>
        <v>447985.75</v>
      </c>
      <c r="Q10" s="171">
        <f t="shared" si="5"/>
        <v>15392.821062961315</v>
      </c>
      <c r="R10" s="171">
        <f t="shared" si="6"/>
        <v>15392.821069853468</v>
      </c>
      <c r="S10" s="171">
        <f t="shared" si="7"/>
        <v>14297.973568519377</v>
      </c>
      <c r="T10" s="171">
        <f t="shared" si="8"/>
        <v>15392.821040980481</v>
      </c>
      <c r="U10" s="171">
        <f t="shared" si="9"/>
        <v>13733.645173714773</v>
      </c>
      <c r="V10" s="171">
        <f t="shared" si="10"/>
        <v>15392.269701923267</v>
      </c>
      <c r="W10" s="171">
        <f t="shared" si="11"/>
        <v>15392.8211205387</v>
      </c>
      <c r="X10" s="171">
        <f t="shared" si="12"/>
        <v>15392.821205601409</v>
      </c>
      <c r="Y10" s="171">
        <f t="shared" si="13"/>
        <v>14443.802543364684</v>
      </c>
      <c r="Z10" s="171">
        <f t="shared" si="14"/>
        <v>15389.070667030723</v>
      </c>
      <c r="AA10" s="171">
        <f t="shared" si="15"/>
        <v>15392.8211316829</v>
      </c>
      <c r="AB10" s="171">
        <f t="shared" si="16"/>
        <v>15392.821047578596</v>
      </c>
      <c r="AC10" s="171">
        <f t="shared" si="2"/>
        <v>181006.50933374968</v>
      </c>
      <c r="AD10" s="171">
        <f t="shared" si="17"/>
        <v>1047.6186166647765</v>
      </c>
      <c r="AE10" s="171">
        <f t="shared" si="18"/>
        <v>2093.1527400054906</v>
      </c>
      <c r="AF10" s="171">
        <f t="shared" si="19"/>
        <v>899.1749938201557</v>
      </c>
      <c r="AG10" s="171">
        <f t="shared" si="20"/>
        <v>2354.7951530061846</v>
      </c>
      <c r="AH10" s="171">
        <f t="shared" si="21"/>
        <v>529.5548016368691</v>
      </c>
      <c r="AI10" s="171">
        <f t="shared" si="22"/>
        <v>206.44028594286175</v>
      </c>
      <c r="AJ10" s="180">
        <f t="shared" si="23"/>
        <v>0</v>
      </c>
      <c r="AK10" s="180">
        <f t="shared" si="24"/>
        <v>562.0873437413718</v>
      </c>
      <c r="AL10" s="171">
        <f t="shared" si="25"/>
        <v>2347.719292229241</v>
      </c>
      <c r="AM10" s="171">
        <f t="shared" si="26"/>
        <v>1491.5054061655533</v>
      </c>
      <c r="AN10" s="171">
        <f t="shared" si="27"/>
        <v>1680.679083279414</v>
      </c>
      <c r="AO10" s="171">
        <f t="shared" si="28"/>
        <v>807.2094528656633</v>
      </c>
      <c r="AP10" s="184">
        <f t="shared" si="3"/>
        <v>14019.937169357583</v>
      </c>
      <c r="AQ10" s="171">
        <f t="shared" si="4"/>
        <v>643012.1965031072</v>
      </c>
      <c r="AS10" s="143"/>
    </row>
    <row r="11" spans="1:45" s="24" customFormat="1" ht="9.75">
      <c r="A11" s="10">
        <v>6</v>
      </c>
      <c r="B11" s="9" t="s">
        <v>36</v>
      </c>
      <c r="C11" s="310">
        <v>4406.17</v>
      </c>
      <c r="D11" s="171">
        <v>8468</v>
      </c>
      <c r="E11" s="171"/>
      <c r="F11" s="171"/>
      <c r="G11" s="171">
        <v>8662.85</v>
      </c>
      <c r="H11" s="171"/>
      <c r="I11" s="171">
        <f t="shared" si="0"/>
        <v>42180.39</v>
      </c>
      <c r="J11" s="171">
        <f>7396.65</f>
        <v>7396.65</v>
      </c>
      <c r="K11" s="171">
        <f>4003.34</f>
        <v>4003.34</v>
      </c>
      <c r="L11" s="171"/>
      <c r="M11" s="171">
        <f>11196.96+12242.49</f>
        <v>23439.449999999997</v>
      </c>
      <c r="N11" s="171"/>
      <c r="O11" s="270"/>
      <c r="P11" s="171">
        <f t="shared" si="1"/>
        <v>94150.68</v>
      </c>
      <c r="Q11" s="171">
        <f t="shared" si="5"/>
        <v>14930.52137167883</v>
      </c>
      <c r="R11" s="171">
        <f t="shared" si="6"/>
        <v>14930.521378363988</v>
      </c>
      <c r="S11" s="171">
        <f t="shared" si="7"/>
        <v>13868.55593677696</v>
      </c>
      <c r="T11" s="171">
        <f t="shared" si="8"/>
        <v>14930.52135035816</v>
      </c>
      <c r="U11" s="171">
        <f t="shared" si="9"/>
        <v>13321.176276816539</v>
      </c>
      <c r="V11" s="171">
        <f t="shared" si="10"/>
        <v>14929.986569921024</v>
      </c>
      <c r="W11" s="171">
        <f t="shared" si="11"/>
        <v>14930.521427526966</v>
      </c>
      <c r="X11" s="171">
        <f t="shared" si="12"/>
        <v>14930.521510034949</v>
      </c>
      <c r="Y11" s="171">
        <f t="shared" si="13"/>
        <v>14010.00516279161</v>
      </c>
      <c r="Z11" s="171">
        <f t="shared" si="14"/>
        <v>14926.883613118203</v>
      </c>
      <c r="AA11" s="171">
        <f t="shared" si="15"/>
        <v>14930.521438336467</v>
      </c>
      <c r="AB11" s="171">
        <f t="shared" si="16"/>
        <v>14930.521356758107</v>
      </c>
      <c r="AC11" s="171">
        <f t="shared" si="2"/>
        <v>175570.2573924818</v>
      </c>
      <c r="AD11" s="171">
        <f t="shared" si="17"/>
        <v>1016.1550037841408</v>
      </c>
      <c r="AE11" s="171">
        <f t="shared" si="18"/>
        <v>2030.2881187932005</v>
      </c>
      <c r="AF11" s="171">
        <f t="shared" si="19"/>
        <v>872.1696566989291</v>
      </c>
      <c r="AG11" s="171">
        <f t="shared" si="20"/>
        <v>2284.0725045835557</v>
      </c>
      <c r="AH11" s="171">
        <f t="shared" si="21"/>
        <v>513.6504381473877</v>
      </c>
      <c r="AI11" s="171">
        <f t="shared" si="22"/>
        <v>200.24016966337757</v>
      </c>
      <c r="AJ11" s="180">
        <f t="shared" si="23"/>
        <v>0</v>
      </c>
      <c r="AK11" s="180">
        <f t="shared" si="24"/>
        <v>545.2059154169241</v>
      </c>
      <c r="AL11" s="171">
        <f t="shared" si="25"/>
        <v>2277.2091563953936</v>
      </c>
      <c r="AM11" s="171">
        <f t="shared" si="26"/>
        <v>1446.7103366980311</v>
      </c>
      <c r="AN11" s="171">
        <f t="shared" si="27"/>
        <v>1630.2024735555092</v>
      </c>
      <c r="AO11" s="171">
        <f t="shared" si="28"/>
        <v>782.9661592332803</v>
      </c>
      <c r="AP11" s="184">
        <f t="shared" si="3"/>
        <v>13598.86993296973</v>
      </c>
      <c r="AQ11" s="171">
        <f t="shared" si="4"/>
        <v>283319.8073254516</v>
      </c>
      <c r="AS11" s="143"/>
    </row>
    <row r="12" spans="1:45" s="24" customFormat="1" ht="9.75">
      <c r="A12" s="10">
        <v>7</v>
      </c>
      <c r="B12" s="9" t="s">
        <v>37</v>
      </c>
      <c r="C12" s="310">
        <v>3437.9</v>
      </c>
      <c r="D12" s="171"/>
      <c r="E12" s="171"/>
      <c r="F12" s="171"/>
      <c r="G12" s="171"/>
      <c r="H12" s="171"/>
      <c r="I12" s="171">
        <f>51200+42180.39</f>
        <v>93380.39</v>
      </c>
      <c r="J12" s="171">
        <f>292368.18+12624.06+7396.65+46083+5965.1</f>
        <v>364436.99</v>
      </c>
      <c r="K12" s="171"/>
      <c r="L12" s="171">
        <f>2923.66+26987.6</f>
        <v>29911.26</v>
      </c>
      <c r="M12" s="171">
        <f>4954.87</f>
        <v>4954.87</v>
      </c>
      <c r="N12" s="171"/>
      <c r="O12" s="171">
        <f>2985</f>
        <v>2985</v>
      </c>
      <c r="P12" s="171">
        <f t="shared" si="1"/>
        <v>495668.51</v>
      </c>
      <c r="Q12" s="171">
        <f t="shared" si="5"/>
        <v>11649.491377703233</v>
      </c>
      <c r="R12" s="171">
        <f t="shared" si="6"/>
        <v>11649.491382919305</v>
      </c>
      <c r="S12" s="171">
        <f t="shared" si="7"/>
        <v>10820.896255715395</v>
      </c>
      <c r="T12" s="171">
        <f t="shared" si="8"/>
        <v>11649.491361067847</v>
      </c>
      <c r="U12" s="171">
        <f t="shared" si="9"/>
        <v>10393.805032957782</v>
      </c>
      <c r="V12" s="171">
        <f t="shared" si="10"/>
        <v>11649.074100348258</v>
      </c>
      <c r="W12" s="171">
        <f t="shared" si="11"/>
        <v>11649.49142127856</v>
      </c>
      <c r="X12" s="171">
        <f t="shared" si="12"/>
        <v>11649.49148565515</v>
      </c>
      <c r="Y12" s="171">
        <f t="shared" si="13"/>
        <v>10931.261560303226</v>
      </c>
      <c r="Z12" s="171">
        <f t="shared" si="14"/>
        <v>11646.65302826243</v>
      </c>
      <c r="AA12" s="171">
        <f t="shared" si="15"/>
        <v>11649.49142971264</v>
      </c>
      <c r="AB12" s="171">
        <f t="shared" si="16"/>
        <v>11649.491366061386</v>
      </c>
      <c r="AC12" s="171">
        <f t="shared" si="2"/>
        <v>136988.12980198523</v>
      </c>
      <c r="AD12" s="171">
        <f t="shared" si="17"/>
        <v>792.8516801461354</v>
      </c>
      <c r="AE12" s="171">
        <f t="shared" si="18"/>
        <v>1584.1257880651779</v>
      </c>
      <c r="AF12" s="171">
        <f t="shared" si="19"/>
        <v>680.5075752331953</v>
      </c>
      <c r="AG12" s="171">
        <f t="shared" si="20"/>
        <v>1782.140240505429</v>
      </c>
      <c r="AH12" s="171">
        <f t="shared" si="21"/>
        <v>400.7741056988051</v>
      </c>
      <c r="AI12" s="171">
        <f t="shared" si="22"/>
        <v>156.2367496682438</v>
      </c>
      <c r="AJ12" s="180">
        <f t="shared" si="23"/>
        <v>0</v>
      </c>
      <c r="AK12" s="180">
        <f t="shared" si="24"/>
        <v>425.39516555462984</v>
      </c>
      <c r="AL12" s="171">
        <f t="shared" si="25"/>
        <v>1776.7851351109293</v>
      </c>
      <c r="AM12" s="171">
        <f t="shared" si="26"/>
        <v>1128.7910966971679</v>
      </c>
      <c r="AN12" s="171">
        <f t="shared" si="27"/>
        <v>1271.960247524831</v>
      </c>
      <c r="AO12" s="171">
        <f t="shared" si="28"/>
        <v>610.9068326524157</v>
      </c>
      <c r="AP12" s="184">
        <f t="shared" si="3"/>
        <v>10610.47461685696</v>
      </c>
      <c r="AQ12" s="171">
        <f t="shared" si="4"/>
        <v>643267.1144188422</v>
      </c>
      <c r="AS12" s="143"/>
    </row>
    <row r="13" spans="1:45" s="24" customFormat="1" ht="9.75">
      <c r="A13" s="10">
        <v>8</v>
      </c>
      <c r="B13" s="9" t="s">
        <v>38</v>
      </c>
      <c r="C13" s="310">
        <v>3015.8</v>
      </c>
      <c r="D13" s="171"/>
      <c r="E13" s="171"/>
      <c r="F13" s="171"/>
      <c r="G13" s="171"/>
      <c r="H13" s="171"/>
      <c r="I13" s="171">
        <f>42180.39+9925.04+6771.74</f>
        <v>58877.17</v>
      </c>
      <c r="J13" s="171">
        <f>7396.65+5965.1</f>
        <v>13361.75</v>
      </c>
      <c r="K13" s="171"/>
      <c r="L13" s="171">
        <f>23548.12</f>
        <v>23548.12</v>
      </c>
      <c r="M13" s="171">
        <f>49308.065</f>
        <v>49308.065</v>
      </c>
      <c r="N13" s="171"/>
      <c r="O13" s="171"/>
      <c r="P13" s="171">
        <f t="shared" si="1"/>
        <v>145095.10499999998</v>
      </c>
      <c r="Q13" s="171">
        <f t="shared" si="5"/>
        <v>10219.184995746651</v>
      </c>
      <c r="R13" s="171">
        <f t="shared" si="6"/>
        <v>10219.1850003223</v>
      </c>
      <c r="S13" s="171">
        <f t="shared" si="7"/>
        <v>9492.323490498995</v>
      </c>
      <c r="T13" s="171">
        <f t="shared" si="8"/>
        <v>10219.18498115373</v>
      </c>
      <c r="U13" s="171">
        <f t="shared" si="9"/>
        <v>9117.669861948885</v>
      </c>
      <c r="V13" s="171">
        <f t="shared" si="10"/>
        <v>10218.818951054505</v>
      </c>
      <c r="W13" s="171">
        <f t="shared" si="11"/>
        <v>10219.185033971868</v>
      </c>
      <c r="X13" s="171">
        <f t="shared" si="12"/>
        <v>10219.1850904444</v>
      </c>
      <c r="Y13" s="171">
        <f t="shared" si="13"/>
        <v>9589.138315123324</v>
      </c>
      <c r="Z13" s="171">
        <f t="shared" si="14"/>
        <v>10216.695134423293</v>
      </c>
      <c r="AA13" s="171">
        <f t="shared" si="15"/>
        <v>10219.185041370423</v>
      </c>
      <c r="AB13" s="171">
        <f t="shared" si="16"/>
        <v>10219.184985534172</v>
      </c>
      <c r="AC13" s="171">
        <f t="shared" si="2"/>
        <v>120168.94088159254</v>
      </c>
      <c r="AD13" s="171">
        <f t="shared" si="17"/>
        <v>695.5065874471961</v>
      </c>
      <c r="AE13" s="171">
        <f t="shared" si="18"/>
        <v>1389.6292945248447</v>
      </c>
      <c r="AF13" s="171">
        <f t="shared" si="19"/>
        <v>596.9559165153933</v>
      </c>
      <c r="AG13" s="171">
        <f t="shared" si="20"/>
        <v>1563.331841332288</v>
      </c>
      <c r="AH13" s="171">
        <f t="shared" si="21"/>
        <v>351.5676860776801</v>
      </c>
      <c r="AI13" s="171">
        <f t="shared" si="22"/>
        <v>137.0542452222257</v>
      </c>
      <c r="AJ13" s="180">
        <f t="shared" si="23"/>
        <v>0</v>
      </c>
      <c r="AK13" s="180">
        <f t="shared" si="24"/>
        <v>373.16581060521037</v>
      </c>
      <c r="AL13" s="171">
        <f t="shared" si="25"/>
        <v>1558.6342274259114</v>
      </c>
      <c r="AM13" s="171">
        <f t="shared" si="26"/>
        <v>990.1998863897494</v>
      </c>
      <c r="AN13" s="171">
        <f t="shared" si="27"/>
        <v>1115.790952175859</v>
      </c>
      <c r="AO13" s="171">
        <f t="shared" si="28"/>
        <v>535.9006445542789</v>
      </c>
      <c r="AP13" s="184">
        <f t="shared" si="3"/>
        <v>9307.737092270636</v>
      </c>
      <c r="AQ13" s="171">
        <f t="shared" si="4"/>
        <v>274571.7829738632</v>
      </c>
      <c r="AS13" s="143"/>
    </row>
    <row r="14" spans="1:45" s="24" customFormat="1" ht="9.75">
      <c r="A14" s="10">
        <v>9</v>
      </c>
      <c r="B14" s="9" t="s">
        <v>39</v>
      </c>
      <c r="C14" s="310">
        <v>3085.8</v>
      </c>
      <c r="D14" s="171"/>
      <c r="E14" s="171"/>
      <c r="F14" s="171"/>
      <c r="G14" s="171"/>
      <c r="H14" s="171"/>
      <c r="I14" s="171">
        <f>42180.39+9925.04</f>
        <v>52105.43</v>
      </c>
      <c r="J14" s="171">
        <f>7396.65+24956.25</f>
        <v>32352.9</v>
      </c>
      <c r="K14" s="171"/>
      <c r="L14" s="171"/>
      <c r="M14" s="171">
        <f>49308.065</f>
        <v>49308.065</v>
      </c>
      <c r="N14" s="171"/>
      <c r="O14" s="171"/>
      <c r="P14" s="171">
        <f t="shared" si="1"/>
        <v>133766.39500000002</v>
      </c>
      <c r="Q14" s="171">
        <f t="shared" si="5"/>
        <v>10456.383400714574</v>
      </c>
      <c r="R14" s="171">
        <f t="shared" si="6"/>
        <v>10456.383405396431</v>
      </c>
      <c r="S14" s="171">
        <f t="shared" si="7"/>
        <v>9712.650648909676</v>
      </c>
      <c r="T14" s="171">
        <f t="shared" si="8"/>
        <v>10456.383385782938</v>
      </c>
      <c r="U14" s="171">
        <f t="shared" si="9"/>
        <v>9329.300901917195</v>
      </c>
      <c r="V14" s="171">
        <f t="shared" si="10"/>
        <v>10456.00885972677</v>
      </c>
      <c r="W14" s="171">
        <f t="shared" si="11"/>
        <v>10456.383439827041</v>
      </c>
      <c r="X14" s="171">
        <f t="shared" si="12"/>
        <v>10456.383497610363</v>
      </c>
      <c r="Y14" s="171">
        <f t="shared" si="13"/>
        <v>9811.712650974054</v>
      </c>
      <c r="Z14" s="171">
        <f t="shared" si="14"/>
        <v>10453.835747000265</v>
      </c>
      <c r="AA14" s="171">
        <f t="shared" si="15"/>
        <v>10456.383447397326</v>
      </c>
      <c r="AB14" s="171">
        <f t="shared" si="16"/>
        <v>10456.383390265053</v>
      </c>
      <c r="AC14" s="171">
        <f t="shared" si="2"/>
        <v>122958.19277552169</v>
      </c>
      <c r="AD14" s="171">
        <f t="shared" si="17"/>
        <v>711.6500522397233</v>
      </c>
      <c r="AE14" s="171">
        <f t="shared" si="18"/>
        <v>1421.8841027404887</v>
      </c>
      <c r="AF14" s="171">
        <f t="shared" si="19"/>
        <v>610.8119129860072</v>
      </c>
      <c r="AG14" s="171">
        <f t="shared" si="20"/>
        <v>1599.6184746943345</v>
      </c>
      <c r="AH14" s="171">
        <f t="shared" si="21"/>
        <v>359.7279546715649</v>
      </c>
      <c r="AI14" s="171">
        <f t="shared" si="22"/>
        <v>140.23542340564495</v>
      </c>
      <c r="AJ14" s="180">
        <f t="shared" si="23"/>
        <v>0</v>
      </c>
      <c r="AK14" s="180">
        <f t="shared" si="24"/>
        <v>381.82739517393674</v>
      </c>
      <c r="AL14" s="171">
        <f t="shared" si="25"/>
        <v>1594.8118240569263</v>
      </c>
      <c r="AM14" s="171">
        <f t="shared" si="26"/>
        <v>1013.1835033561538</v>
      </c>
      <c r="AN14" s="171">
        <f t="shared" si="27"/>
        <v>1141.689674455954</v>
      </c>
      <c r="AO14" s="171">
        <f t="shared" si="28"/>
        <v>548.339481718149</v>
      </c>
      <c r="AP14" s="184">
        <f t="shared" si="3"/>
        <v>9523.779799498883</v>
      </c>
      <c r="AQ14" s="171">
        <f t="shared" si="4"/>
        <v>266248.3675750206</v>
      </c>
      <c r="AS14" s="143"/>
    </row>
    <row r="15" spans="1:45" s="24" customFormat="1" ht="9.75">
      <c r="A15" s="10">
        <v>10</v>
      </c>
      <c r="B15" s="9" t="s">
        <v>40</v>
      </c>
      <c r="C15" s="310">
        <v>1939.7</v>
      </c>
      <c r="D15" s="171"/>
      <c r="E15" s="171"/>
      <c r="F15" s="171"/>
      <c r="G15" s="171"/>
      <c r="H15" s="171">
        <f>2533.04</f>
        <v>2533.04</v>
      </c>
      <c r="I15" s="171">
        <f>29786.54</f>
        <v>29786.54</v>
      </c>
      <c r="J15" s="173">
        <f>7396.65</f>
        <v>7396.65</v>
      </c>
      <c r="K15" s="171"/>
      <c r="L15" s="171">
        <f>15175.98</f>
        <v>15175.98</v>
      </c>
      <c r="M15" s="171"/>
      <c r="N15" s="171"/>
      <c r="O15" s="171"/>
      <c r="P15" s="171">
        <f t="shared" si="1"/>
        <v>54892.21000000001</v>
      </c>
      <c r="Q15" s="171">
        <f t="shared" si="5"/>
        <v>6572.767801661176</v>
      </c>
      <c r="R15" s="171">
        <f t="shared" si="6"/>
        <v>6572.767804604141</v>
      </c>
      <c r="S15" s="171">
        <f t="shared" si="7"/>
        <v>6105.265559559951</v>
      </c>
      <c r="T15" s="171">
        <f t="shared" si="8"/>
        <v>6572.767792275315</v>
      </c>
      <c r="U15" s="171">
        <f t="shared" si="9"/>
        <v>5864.296117521803</v>
      </c>
      <c r="V15" s="171">
        <f t="shared" si="10"/>
        <v>6572.53236930845</v>
      </c>
      <c r="W15" s="171">
        <f t="shared" si="11"/>
        <v>6572.7678262468435</v>
      </c>
      <c r="X15" s="171">
        <f t="shared" si="12"/>
        <v>6572.767862568805</v>
      </c>
      <c r="Y15" s="171">
        <f t="shared" si="13"/>
        <v>6167.534846423739</v>
      </c>
      <c r="Z15" s="171">
        <f t="shared" si="14"/>
        <v>6571.166374507879</v>
      </c>
      <c r="AA15" s="171">
        <f t="shared" si="15"/>
        <v>6572.767831005442</v>
      </c>
      <c r="AB15" s="171">
        <f>C15*684791.93/202090.04</f>
        <v>6572.767795092722</v>
      </c>
      <c r="AC15" s="171">
        <f t="shared" si="2"/>
        <v>77290.16998077626</v>
      </c>
      <c r="AD15" s="171">
        <f t="shared" si="17"/>
        <v>447.3354094009305</v>
      </c>
      <c r="AE15" s="171">
        <f t="shared" si="18"/>
        <v>893.7807356554947</v>
      </c>
      <c r="AF15" s="171">
        <f t="shared" si="19"/>
        <v>383.94966220071234</v>
      </c>
      <c r="AG15" s="171">
        <f t="shared" si="20"/>
        <v>1005.5026104623114</v>
      </c>
      <c r="AH15" s="171">
        <f t="shared" si="21"/>
        <v>226.12104273654623</v>
      </c>
      <c r="AI15" s="171">
        <f t="shared" si="22"/>
        <v>88.15044746254762</v>
      </c>
      <c r="AJ15" s="180">
        <f t="shared" si="23"/>
        <v>0</v>
      </c>
      <c r="AK15" s="180">
        <f t="shared" si="24"/>
        <v>240.01250839940533</v>
      </c>
      <c r="AL15" s="171">
        <f t="shared" si="25"/>
        <v>1002.4812026454143</v>
      </c>
      <c r="AM15" s="171">
        <f t="shared" si="26"/>
        <v>636.8760261390665</v>
      </c>
      <c r="AN15" s="171">
        <f t="shared" si="27"/>
        <v>717.653594381429</v>
      </c>
      <c r="AO15" s="171">
        <f t="shared" si="28"/>
        <v>344.68017781084114</v>
      </c>
      <c r="AP15" s="184">
        <f t="shared" si="3"/>
        <v>5986.543417294699</v>
      </c>
      <c r="AQ15" s="171">
        <f t="shared" si="4"/>
        <v>138168.92339807097</v>
      </c>
      <c r="AS15" s="143"/>
    </row>
    <row r="16" spans="1:45" s="91" customFormat="1" ht="9.75">
      <c r="A16" s="14">
        <v>10</v>
      </c>
      <c r="B16" s="11" t="s">
        <v>29</v>
      </c>
      <c r="C16" s="170">
        <f aca="true" t="shared" si="29" ref="C16:AP16">SUM(C6:C15)</f>
        <v>37040.909999999996</v>
      </c>
      <c r="D16" s="172">
        <f t="shared" si="29"/>
        <v>17098.86</v>
      </c>
      <c r="E16" s="172">
        <f t="shared" si="29"/>
        <v>0</v>
      </c>
      <c r="F16" s="172">
        <f t="shared" si="29"/>
        <v>0</v>
      </c>
      <c r="G16" s="172">
        <f t="shared" si="29"/>
        <v>13559.19</v>
      </c>
      <c r="H16" s="172">
        <f>SUM(H7:H15)</f>
        <v>10788.36</v>
      </c>
      <c r="I16" s="172">
        <f t="shared" si="29"/>
        <v>487231.87</v>
      </c>
      <c r="J16" s="172">
        <f t="shared" si="29"/>
        <v>1538999.0099999998</v>
      </c>
      <c r="K16" s="172">
        <f t="shared" si="29"/>
        <v>120233.17</v>
      </c>
      <c r="L16" s="172">
        <f t="shared" si="29"/>
        <v>105547.18999999999</v>
      </c>
      <c r="M16" s="172">
        <f t="shared" si="29"/>
        <v>488901.18</v>
      </c>
      <c r="N16" s="172">
        <f t="shared" si="29"/>
        <v>0</v>
      </c>
      <c r="O16" s="172">
        <f t="shared" si="29"/>
        <v>16781.64</v>
      </c>
      <c r="P16" s="172">
        <f t="shared" si="29"/>
        <v>2799140.4699999997</v>
      </c>
      <c r="Q16" s="172">
        <f t="shared" si="29"/>
        <v>125514.92529372041</v>
      </c>
      <c r="R16" s="172">
        <f t="shared" si="29"/>
        <v>125514.92534991985</v>
      </c>
      <c r="S16" s="172">
        <f t="shared" si="29"/>
        <v>116587.40636065361</v>
      </c>
      <c r="T16" s="172">
        <f t="shared" si="29"/>
        <v>125514.92511448608</v>
      </c>
      <c r="U16" s="172">
        <f t="shared" si="29"/>
        <v>111985.80435246408</v>
      </c>
      <c r="V16" s="172">
        <f t="shared" si="29"/>
        <v>125510.42942910812</v>
      </c>
      <c r="W16" s="172">
        <f t="shared" si="29"/>
        <v>125514.92576321338</v>
      </c>
      <c r="X16" s="172">
        <f t="shared" si="29"/>
        <v>125514.926456825</v>
      </c>
      <c r="Y16" s="172">
        <f t="shared" si="29"/>
        <v>117776.51346509538</v>
      </c>
      <c r="Z16" s="172">
        <f t="shared" si="29"/>
        <v>125484.34411154954</v>
      </c>
      <c r="AA16" s="172">
        <f t="shared" si="29"/>
        <v>125514.92585408453</v>
      </c>
      <c r="AB16" s="172">
        <f t="shared" si="29"/>
        <v>125514.92516828785</v>
      </c>
      <c r="AC16" s="172">
        <f t="shared" si="29"/>
        <v>1475948.9767194076</v>
      </c>
      <c r="AD16" s="172">
        <f t="shared" si="29"/>
        <v>8542.4089495453</v>
      </c>
      <c r="AE16" s="172">
        <f t="shared" si="29"/>
        <v>17067.82068832756</v>
      </c>
      <c r="AF16" s="172">
        <f t="shared" si="29"/>
        <v>7331.981688976125</v>
      </c>
      <c r="AG16" s="172">
        <f t="shared" si="29"/>
        <v>19201.284579522362</v>
      </c>
      <c r="AH16" s="172">
        <f t="shared" si="29"/>
        <v>4318.053922313019</v>
      </c>
      <c r="AI16" s="172">
        <f>SUM(AI6:AI15)</f>
        <v>1683.3390683713747</v>
      </c>
      <c r="AJ16" s="172">
        <f>SUM(AJ6:AJ15)</f>
        <v>0</v>
      </c>
      <c r="AK16" s="172">
        <f>SUM(AK6:AK15)</f>
        <v>4583.328206679702</v>
      </c>
      <c r="AL16" s="172">
        <f t="shared" si="29"/>
        <v>19143.58715465307</v>
      </c>
      <c r="AM16" s="172">
        <f t="shared" si="29"/>
        <v>12161.915536100849</v>
      </c>
      <c r="AN16" s="172">
        <f t="shared" si="29"/>
        <v>13704.460587028416</v>
      </c>
      <c r="AO16" s="172">
        <f t="shared" si="29"/>
        <v>6582.083541308122</v>
      </c>
      <c r="AP16" s="185">
        <f t="shared" si="29"/>
        <v>114320.26392282588</v>
      </c>
      <c r="AQ16" s="172">
        <f>SUM(AQ6:AQ15)</f>
        <v>4389409.710642234</v>
      </c>
      <c r="AS16" s="144"/>
    </row>
    <row r="17" spans="1:43" s="30" customFormat="1" ht="9.75">
      <c r="A17" s="26"/>
      <c r="B17" s="27"/>
      <c r="C17" s="28"/>
      <c r="D17" s="29"/>
      <c r="E17" s="29"/>
      <c r="F17" s="29"/>
      <c r="G17" s="176"/>
      <c r="H17" s="29"/>
      <c r="I17" s="29"/>
      <c r="J17" s="29"/>
      <c r="K17" s="29"/>
      <c r="L17" s="176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</row>
    <row r="18" spans="4:43" ht="12.75">
      <c r="D18" s="31"/>
      <c r="E18" s="31"/>
      <c r="F18" s="136"/>
      <c r="G18" s="137"/>
      <c r="H18" s="138"/>
      <c r="I18" s="139"/>
      <c r="J18" s="136"/>
      <c r="K18" s="138"/>
      <c r="L18" s="267"/>
      <c r="M18" s="139"/>
      <c r="N18" s="138"/>
      <c r="O18" s="138"/>
      <c r="P18" s="31"/>
      <c r="AQ18" s="140"/>
    </row>
    <row r="19" spans="1:16" ht="12.75">
      <c r="A19" s="24" t="s">
        <v>74</v>
      </c>
      <c r="D19" s="31"/>
      <c r="E19" s="31"/>
      <c r="F19" s="136"/>
      <c r="G19" s="31"/>
      <c r="H19" s="31"/>
      <c r="I19" s="31"/>
      <c r="J19" s="31"/>
      <c r="K19" s="31"/>
      <c r="L19" s="268"/>
      <c r="M19" s="31"/>
      <c r="N19" s="31"/>
      <c r="O19" s="31"/>
      <c r="P19" s="31"/>
    </row>
    <row r="20" spans="1:16" ht="12.75">
      <c r="A20" s="24" t="s">
        <v>75</v>
      </c>
      <c r="D20" s="31"/>
      <c r="E20" s="31"/>
      <c r="F20" s="31"/>
      <c r="G20" s="31"/>
      <c r="H20" s="31"/>
      <c r="I20" s="31"/>
      <c r="J20" s="31"/>
      <c r="K20" s="136"/>
      <c r="L20" s="268"/>
      <c r="M20" s="31"/>
      <c r="N20" s="31"/>
      <c r="O20" s="31"/>
      <c r="P20" s="31"/>
    </row>
    <row r="21" spans="1:16" ht="12.75">
      <c r="A21" s="24" t="s">
        <v>76</v>
      </c>
      <c r="D21" s="31"/>
      <c r="E21" s="31"/>
      <c r="F21" s="31"/>
      <c r="G21" s="31"/>
      <c r="H21" s="31"/>
      <c r="I21" s="31"/>
      <c r="J21" s="31"/>
      <c r="K21" s="31"/>
      <c r="L21" s="269"/>
      <c r="M21" s="137"/>
      <c r="N21" s="137"/>
      <c r="O21" s="137"/>
      <c r="P21" s="31"/>
    </row>
    <row r="22" spans="1:10" ht="12.75">
      <c r="A22" s="24" t="s">
        <v>77</v>
      </c>
      <c r="I22" s="140"/>
      <c r="J22" s="140"/>
    </row>
    <row r="23" ht="12.75">
      <c r="A23" s="24" t="s">
        <v>78</v>
      </c>
    </row>
    <row r="24" spans="1:9" ht="12.75">
      <c r="A24" s="24"/>
      <c r="I24" s="141"/>
    </row>
    <row r="25" ht="12.75">
      <c r="A25" s="24" t="s">
        <v>79</v>
      </c>
    </row>
    <row r="26" ht="12.75">
      <c r="A26" s="24" t="s">
        <v>80</v>
      </c>
    </row>
    <row r="27" ht="12.75">
      <c r="A27" s="24" t="s">
        <v>81</v>
      </c>
    </row>
    <row r="28" ht="12.75">
      <c r="A28" s="24" t="s">
        <v>82</v>
      </c>
    </row>
    <row r="29" ht="12.75">
      <c r="A29" s="24"/>
    </row>
    <row r="30" ht="12.75">
      <c r="A30" s="24" t="s">
        <v>83</v>
      </c>
    </row>
  </sheetData>
  <sheetProtection/>
  <autoFilter ref="A1:C4"/>
  <mergeCells count="5">
    <mergeCell ref="A2:AQ2"/>
    <mergeCell ref="Q4:AC4"/>
    <mergeCell ref="A3:C3"/>
    <mergeCell ref="D4:P4"/>
    <mergeCell ref="AD4:AP4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S66"/>
  <sheetViews>
    <sheetView zoomScale="110" zoomScaleNormal="110" zoomScalePageLayoutView="0" workbookViewId="0" topLeftCell="A1">
      <pane xSplit="3" ySplit="5" topLeftCell="M18" activePane="bottomRight" state="frozen"/>
      <selection pane="topLeft" activeCell="I20" sqref="I20"/>
      <selection pane="topRight" activeCell="I20" sqref="I20"/>
      <selection pane="bottomLeft" activeCell="I20" sqref="I20"/>
      <selection pane="bottomRight" activeCell="AO30" sqref="AO30"/>
    </sheetView>
  </sheetViews>
  <sheetFormatPr defaultColWidth="9.140625" defaultRowHeight="12.75"/>
  <cols>
    <col min="1" max="1" width="6.28125" style="16" customWidth="1"/>
    <col min="2" max="2" width="19.7109375" style="15" customWidth="1"/>
    <col min="3" max="3" width="9.140625" style="15" customWidth="1"/>
    <col min="4" max="6" width="9.8515625" style="0" customWidth="1"/>
    <col min="7" max="7" width="10.8515625" style="0" customWidth="1"/>
    <col min="8" max="8" width="9.57421875" style="0" customWidth="1"/>
    <col min="9" max="9" width="11.57421875" style="0" customWidth="1"/>
    <col min="10" max="10" width="11.28125" style="0" customWidth="1"/>
    <col min="11" max="11" width="10.8515625" style="0" customWidth="1"/>
    <col min="12" max="12" width="11.57421875" style="0" customWidth="1"/>
    <col min="13" max="15" width="9.57421875" style="0" customWidth="1"/>
    <col min="16" max="16" width="11.140625" style="0" bestFit="1" customWidth="1"/>
    <col min="17" max="17" width="11.57421875" style="0" customWidth="1"/>
    <col min="18" max="28" width="9.57421875" style="0" customWidth="1"/>
    <col min="29" max="29" width="11.140625" style="0" bestFit="1" customWidth="1"/>
    <col min="30" max="30" width="12.57421875" style="0" customWidth="1"/>
    <col min="31" max="41" width="9.57421875" style="0" customWidth="1"/>
    <col min="42" max="42" width="11.28125" style="0" customWidth="1"/>
    <col min="43" max="43" width="11.140625" style="0" customWidth="1"/>
    <col min="45" max="45" width="13.57421875" style="0" customWidth="1"/>
  </cols>
  <sheetData>
    <row r="1" spans="1:4" ht="15" customHeight="1">
      <c r="A1" s="1"/>
      <c r="B1" s="2"/>
      <c r="C1" s="2"/>
      <c r="D1" s="3"/>
    </row>
    <row r="2" spans="1:43" ht="14.25" customHeight="1" thickBot="1">
      <c r="A2" s="604" t="s">
        <v>210</v>
      </c>
      <c r="B2" s="604"/>
      <c r="C2" s="604"/>
      <c r="D2" s="604"/>
      <c r="E2" s="604"/>
      <c r="F2" s="604"/>
      <c r="G2" s="604"/>
      <c r="H2" s="604"/>
      <c r="I2" s="604"/>
      <c r="J2" s="604"/>
      <c r="K2" s="604"/>
      <c r="L2" s="604"/>
      <c r="M2" s="604"/>
      <c r="N2" s="604"/>
      <c r="O2" s="604"/>
      <c r="P2" s="604"/>
      <c r="Q2" s="604"/>
      <c r="R2" s="604"/>
      <c r="S2" s="604"/>
      <c r="T2" s="604"/>
      <c r="U2" s="604"/>
      <c r="V2" s="604"/>
      <c r="W2" s="604"/>
      <c r="X2" s="604"/>
      <c r="Y2" s="604"/>
      <c r="Z2" s="604"/>
      <c r="AA2" s="604"/>
      <c r="AB2" s="604"/>
      <c r="AC2" s="604"/>
      <c r="AD2" s="604"/>
      <c r="AE2" s="604"/>
      <c r="AF2" s="604"/>
      <c r="AG2" s="604"/>
      <c r="AH2" s="604"/>
      <c r="AI2" s="604"/>
      <c r="AJ2" s="604"/>
      <c r="AK2" s="604"/>
      <c r="AL2" s="604"/>
      <c r="AM2" s="604"/>
      <c r="AN2" s="604"/>
      <c r="AO2" s="604"/>
      <c r="AP2" s="604"/>
      <c r="AQ2" s="604"/>
    </row>
    <row r="3" spans="1:4" ht="13.5" hidden="1" thickBot="1">
      <c r="A3" s="608"/>
      <c r="B3" s="608"/>
      <c r="C3" s="608"/>
      <c r="D3" s="3"/>
    </row>
    <row r="4" spans="1:43" ht="45.75" customHeight="1" thickBot="1">
      <c r="A4" s="4" t="s">
        <v>0</v>
      </c>
      <c r="B4" s="5" t="s">
        <v>1</v>
      </c>
      <c r="C4" s="18" t="s">
        <v>2</v>
      </c>
      <c r="D4" s="605" t="s">
        <v>41</v>
      </c>
      <c r="E4" s="606"/>
      <c r="F4" s="606"/>
      <c r="G4" s="606"/>
      <c r="H4" s="606"/>
      <c r="I4" s="606"/>
      <c r="J4" s="606"/>
      <c r="K4" s="606"/>
      <c r="L4" s="606"/>
      <c r="M4" s="606"/>
      <c r="N4" s="606"/>
      <c r="O4" s="606"/>
      <c r="P4" s="607"/>
      <c r="Q4" s="605" t="s">
        <v>42</v>
      </c>
      <c r="R4" s="606"/>
      <c r="S4" s="606"/>
      <c r="T4" s="606"/>
      <c r="U4" s="606"/>
      <c r="V4" s="606"/>
      <c r="W4" s="606"/>
      <c r="X4" s="606"/>
      <c r="Y4" s="606"/>
      <c r="Z4" s="606"/>
      <c r="AA4" s="606"/>
      <c r="AB4" s="606"/>
      <c r="AC4" s="607"/>
      <c r="AD4" s="605" t="s">
        <v>43</v>
      </c>
      <c r="AE4" s="606"/>
      <c r="AF4" s="606"/>
      <c r="AG4" s="606"/>
      <c r="AH4" s="606"/>
      <c r="AI4" s="606"/>
      <c r="AJ4" s="606"/>
      <c r="AK4" s="606"/>
      <c r="AL4" s="606"/>
      <c r="AM4" s="606"/>
      <c r="AN4" s="606"/>
      <c r="AO4" s="606"/>
      <c r="AP4" s="607"/>
      <c r="AQ4" s="19" t="s">
        <v>44</v>
      </c>
    </row>
    <row r="5" spans="1:43" ht="12" customHeight="1">
      <c r="A5" s="13"/>
      <c r="B5" s="20" t="s">
        <v>3</v>
      </c>
      <c r="C5" s="21"/>
      <c r="D5" s="21" t="s">
        <v>45</v>
      </c>
      <c r="E5" s="21" t="s">
        <v>46</v>
      </c>
      <c r="F5" s="21" t="s">
        <v>47</v>
      </c>
      <c r="G5" s="21" t="s">
        <v>48</v>
      </c>
      <c r="H5" s="21" t="s">
        <v>49</v>
      </c>
      <c r="I5" s="21" t="s">
        <v>50</v>
      </c>
      <c r="J5" s="21" t="s">
        <v>51</v>
      </c>
      <c r="K5" s="21" t="s">
        <v>52</v>
      </c>
      <c r="L5" s="21" t="s">
        <v>53</v>
      </c>
      <c r="M5" s="21" t="s">
        <v>54</v>
      </c>
      <c r="N5" s="21" t="s">
        <v>55</v>
      </c>
      <c r="O5" s="21" t="s">
        <v>56</v>
      </c>
      <c r="P5" s="22" t="s">
        <v>57</v>
      </c>
      <c r="Q5" s="22" t="s">
        <v>45</v>
      </c>
      <c r="R5" s="22" t="s">
        <v>46</v>
      </c>
      <c r="S5" s="22" t="s">
        <v>47</v>
      </c>
      <c r="T5" s="22" t="s">
        <v>48</v>
      </c>
      <c r="U5" s="22" t="s">
        <v>49</v>
      </c>
      <c r="V5" s="22" t="s">
        <v>50</v>
      </c>
      <c r="W5" s="22" t="s">
        <v>51</v>
      </c>
      <c r="X5" s="22" t="s">
        <v>52</v>
      </c>
      <c r="Y5" s="22" t="s">
        <v>53</v>
      </c>
      <c r="Z5" s="22" t="s">
        <v>54</v>
      </c>
      <c r="AA5" s="22" t="s">
        <v>55</v>
      </c>
      <c r="AB5" s="22" t="s">
        <v>56</v>
      </c>
      <c r="AC5" s="22" t="s">
        <v>57</v>
      </c>
      <c r="AD5" s="22" t="s">
        <v>45</v>
      </c>
      <c r="AE5" s="22" t="s">
        <v>46</v>
      </c>
      <c r="AF5" s="22" t="s">
        <v>47</v>
      </c>
      <c r="AG5" s="22" t="s">
        <v>48</v>
      </c>
      <c r="AH5" s="22" t="s">
        <v>49</v>
      </c>
      <c r="AI5" s="22" t="s">
        <v>50</v>
      </c>
      <c r="AJ5" s="22" t="s">
        <v>51</v>
      </c>
      <c r="AK5" s="22" t="s">
        <v>52</v>
      </c>
      <c r="AL5" s="22" t="s">
        <v>53</v>
      </c>
      <c r="AM5" s="22" t="s">
        <v>54</v>
      </c>
      <c r="AN5" s="22" t="s">
        <v>55</v>
      </c>
      <c r="AO5" s="22" t="s">
        <v>56</v>
      </c>
      <c r="AP5" s="22" t="s">
        <v>57</v>
      </c>
      <c r="AQ5" s="23"/>
    </row>
    <row r="6" spans="1:45" s="24" customFormat="1" ht="12" customHeight="1">
      <c r="A6" s="6">
        <v>1</v>
      </c>
      <c r="B6" s="7" t="s">
        <v>4</v>
      </c>
      <c r="C6" s="309">
        <v>522.2</v>
      </c>
      <c r="D6" s="171"/>
      <c r="E6" s="171"/>
      <c r="F6" s="171"/>
      <c r="G6" s="171"/>
      <c r="H6" s="171"/>
      <c r="I6" s="171"/>
      <c r="J6" s="171">
        <f>17427.7+4997</f>
        <v>22424.7</v>
      </c>
      <c r="K6" s="171"/>
      <c r="L6" s="182">
        <f>4102.33</f>
        <v>4102.33</v>
      </c>
      <c r="M6" s="171"/>
      <c r="N6" s="171"/>
      <c r="O6" s="171"/>
      <c r="P6" s="171">
        <f aca="true" t="shared" si="0" ref="P6:P30">SUM(D6:O6)</f>
        <v>26527.03</v>
      </c>
      <c r="Q6" s="171">
        <f>C6*683907.96/201829.17</f>
        <v>1769.5001010607139</v>
      </c>
      <c r="R6" s="171">
        <f>C6*683911.01/201830.07</f>
        <v>1769.5001018530095</v>
      </c>
      <c r="S6" s="171">
        <f>C6*635251.89/201825.47</f>
        <v>1643.6406017436752</v>
      </c>
      <c r="T6" s="171">
        <f>C6*684595.36/202032.03</f>
        <v>1769.500098533881</v>
      </c>
      <c r="U6" s="171">
        <f>C6*610833.18/202041.83</f>
        <v>1578.767558163575</v>
      </c>
      <c r="V6" s="171">
        <f>C6*684618.04/202045.96</f>
        <v>1769.436718695093</v>
      </c>
      <c r="W6" s="171">
        <f>C6*684824.26/202099.58</f>
        <v>1769.5001076795907</v>
      </c>
      <c r="X6" s="171">
        <f>C6*683921.08/201833.04</f>
        <v>1769.5001174039692</v>
      </c>
      <c r="Y6" s="171">
        <f>C6*642596.4/202097.64</f>
        <v>1660.4045454464488</v>
      </c>
      <c r="Z6" s="171">
        <f>C6*683944.46/201839.94</f>
        <v>1769.5001148533834</v>
      </c>
      <c r="AA6" s="171">
        <f>C6*683924.13/201833.94</f>
        <v>1769.5001181961768</v>
      </c>
      <c r="AB6" s="171">
        <f>C6*683914.4/201831.07</f>
        <v>1769.500105608121</v>
      </c>
      <c r="AC6" s="171">
        <f aca="true" t="shared" si="1" ref="AC6:AC30">SUM(Q6:AB6)</f>
        <v>20808.25028923764</v>
      </c>
      <c r="AD6" s="171">
        <f>C6*46546.03/201829.17</f>
        <v>120.43024735225339</v>
      </c>
      <c r="AE6" s="171">
        <f>C6*92999.86/201830.07</f>
        <v>240.6208692887041</v>
      </c>
      <c r="AF6" s="171">
        <f>C6*39949.9/201825.47</f>
        <v>103.36573367078002</v>
      </c>
      <c r="AG6" s="171">
        <f>C6*104729.46/202032.03</f>
        <v>270.6982848808677</v>
      </c>
      <c r="AH6" s="171">
        <f>C6*23553.08/202041.83</f>
        <v>60.87560371038018</v>
      </c>
      <c r="AI6" s="180">
        <f>C6*9182.06/202045.96</f>
        <v>23.731589248307664</v>
      </c>
      <c r="AJ6" s="180">
        <f>C6*0/202099.58</f>
        <v>0</v>
      </c>
      <c r="AK6" s="180">
        <f>C6*25006.94/202097.64</f>
        <v>64.61542088269807</v>
      </c>
      <c r="AL6" s="171">
        <f>C6*104448.67/202097.64</f>
        <v>269.8848708673689</v>
      </c>
      <c r="AM6" s="171">
        <f>C6*58776.89/201839.94</f>
        <v>152.06748455236362</v>
      </c>
      <c r="AN6" s="171">
        <f>C6*61496.55/201833.94</f>
        <v>159.1085147027304</v>
      </c>
      <c r="AO6" s="171">
        <f>C6*24467.24/201831.07</f>
        <v>63.30438979489135</v>
      </c>
      <c r="AP6" s="171">
        <f aca="true" t="shared" si="2" ref="AP6:AP30">SUM(AD6:AO6)</f>
        <v>1528.7030089513455</v>
      </c>
      <c r="AQ6" s="171">
        <f aca="true" t="shared" si="3" ref="AQ6:AQ30">P6+AC6+AP6</f>
        <v>48863.98329818898</v>
      </c>
      <c r="AS6" s="143"/>
    </row>
    <row r="7" spans="1:45" s="24" customFormat="1" ht="12" customHeight="1">
      <c r="A7" s="8">
        <v>2</v>
      </c>
      <c r="B7" s="9" t="s">
        <v>5</v>
      </c>
      <c r="C7" s="309">
        <v>508.8</v>
      </c>
      <c r="D7" s="171"/>
      <c r="E7" s="171"/>
      <c r="F7" s="171"/>
      <c r="G7" s="171"/>
      <c r="H7" s="171"/>
      <c r="I7" s="171"/>
      <c r="J7" s="171">
        <f>17427.7+6807.04+4997</f>
        <v>29231.74</v>
      </c>
      <c r="K7" s="171"/>
      <c r="L7" s="182">
        <f>3981.82</f>
        <v>3981.82</v>
      </c>
      <c r="M7" s="171"/>
      <c r="N7" s="171"/>
      <c r="O7" s="171"/>
      <c r="P7" s="171">
        <f t="shared" si="0"/>
        <v>33213.560000000005</v>
      </c>
      <c r="Q7" s="171">
        <f aca="true" t="shared" si="4" ref="Q7:Q30">C7*683907.96/201829.17</f>
        <v>1724.0935492525682</v>
      </c>
      <c r="R7" s="171">
        <f aca="true" t="shared" si="5" ref="R7:R30">C7*683911.01/201830.07</f>
        <v>1724.093550024533</v>
      </c>
      <c r="S7" s="171">
        <f aca="true" t="shared" si="6" ref="S7:S30">C7*635251.89/201825.47</f>
        <v>1601.463688562202</v>
      </c>
      <c r="T7" s="171">
        <f aca="true" t="shared" si="7" ref="T7:T30">C7*684595.36/202032.03</f>
        <v>1724.0935467905756</v>
      </c>
      <c r="U7" s="171">
        <f aca="true" t="shared" si="8" ref="U7:U30">C7*610833.18/202041.83</f>
        <v>1538.2553305124986</v>
      </c>
      <c r="V7" s="171">
        <f aca="true" t="shared" si="9" ref="V7:V30">C7*684618.04/202045.96</f>
        <v>1724.0317933206882</v>
      </c>
      <c r="W7" s="171">
        <f aca="true" t="shared" si="10" ref="W7:W30">C7*684824.26/202099.58</f>
        <v>1724.0935557016005</v>
      </c>
      <c r="X7" s="171">
        <f>C7*683921.08/201833.04</f>
        <v>1724.0935651764448</v>
      </c>
      <c r="Y7" s="171">
        <f aca="true" t="shared" si="11" ref="Y7:Y30">C7*642596.4/202097.64</f>
        <v>1617.79745829788</v>
      </c>
      <c r="Z7" s="171">
        <f>C7*683944.46/201839.94</f>
        <v>1724.0935626913085</v>
      </c>
      <c r="AA7" s="171">
        <f>C7*683924.13/201833.94</f>
        <v>1724.0935659483237</v>
      </c>
      <c r="AB7" s="171">
        <f>C7*683914.4/201831.07</f>
        <v>1724.0935536832858</v>
      </c>
      <c r="AC7" s="171">
        <f t="shared" si="1"/>
        <v>20274.29671996191</v>
      </c>
      <c r="AD7" s="171">
        <f aca="true" t="shared" si="12" ref="AD7:AD30">C7*46546.03/201829.17</f>
        <v>117.33992694911245</v>
      </c>
      <c r="AE7" s="171">
        <f aca="true" t="shared" si="13" ref="AE7:AE30">C7*92999.86/201830.07</f>
        <v>234.44637743028082</v>
      </c>
      <c r="AF7" s="171">
        <f aca="true" t="shared" si="14" ref="AF7:AF30">C7*39949.9/201825.47</f>
        <v>100.71330006069105</v>
      </c>
      <c r="AG7" s="171">
        <f aca="true" t="shared" si="15" ref="AG7:AG30">C7*104729.46/202032.03</f>
        <v>263.75198649441876</v>
      </c>
      <c r="AH7" s="171">
        <f aca="true" t="shared" si="16" ref="AH7:AH30">C7*23553.08/202041.83</f>
        <v>59.313495150979385</v>
      </c>
      <c r="AI7" s="180">
        <f aca="true" t="shared" si="17" ref="AI7:AI30">C7*9182.06/202045.96</f>
        <v>23.122620853195976</v>
      </c>
      <c r="AJ7" s="180">
        <f aca="true" t="shared" si="18" ref="AJ7:AJ30">C7*0/202099.58</f>
        <v>0</v>
      </c>
      <c r="AK7" s="180">
        <f aca="true" t="shared" si="19" ref="AK7:AK30">C7*25006.94/202097.64</f>
        <v>62.957346122399045</v>
      </c>
      <c r="AL7" s="171">
        <f aca="true" t="shared" si="20" ref="AL7:AL30">C7*104448.67/202097.64</f>
        <v>262.95944522657464</v>
      </c>
      <c r="AM7" s="171">
        <f>C7*58776.89/201839.94</f>
        <v>148.16533155925433</v>
      </c>
      <c r="AN7" s="171">
        <f>C7*61496.55/201833.94</f>
        <v>155.02568418374037</v>
      </c>
      <c r="AO7" s="171">
        <f>C7*24467.24/201831.07</f>
        <v>61.679956965991416</v>
      </c>
      <c r="AP7" s="171">
        <f t="shared" si="2"/>
        <v>1489.4754709966383</v>
      </c>
      <c r="AQ7" s="171">
        <f t="shared" si="3"/>
        <v>54977.33219095855</v>
      </c>
      <c r="AS7" s="143"/>
    </row>
    <row r="8" spans="1:45" s="24" customFormat="1" ht="12" customHeight="1">
      <c r="A8" s="6">
        <v>3</v>
      </c>
      <c r="B8" s="9" t="s">
        <v>6</v>
      </c>
      <c r="C8" s="309">
        <v>531.5</v>
      </c>
      <c r="D8" s="171"/>
      <c r="E8" s="171"/>
      <c r="F8" s="171"/>
      <c r="G8" s="171"/>
      <c r="H8" s="171"/>
      <c r="I8" s="171"/>
      <c r="J8" s="171">
        <f>17427.7+4997</f>
        <v>22424.7</v>
      </c>
      <c r="K8" s="171"/>
      <c r="L8" s="182">
        <f>4176.68</f>
        <v>4176.68</v>
      </c>
      <c r="M8" s="171"/>
      <c r="N8" s="171"/>
      <c r="O8" s="171"/>
      <c r="P8" s="171">
        <f t="shared" si="0"/>
        <v>26601.38</v>
      </c>
      <c r="Q8" s="171">
        <f t="shared" si="4"/>
        <v>1801.0136034350237</v>
      </c>
      <c r="R8" s="171">
        <f t="shared" si="5"/>
        <v>1801.0136042414294</v>
      </c>
      <c r="S8" s="171">
        <f t="shared" si="6"/>
        <v>1672.912638503951</v>
      </c>
      <c r="T8" s="171">
        <f t="shared" si="7"/>
        <v>1801.0136008631898</v>
      </c>
      <c r="U8" s="171">
        <f t="shared" si="8"/>
        <v>1606.8842534736498</v>
      </c>
      <c r="V8" s="171">
        <f t="shared" si="9"/>
        <v>1800.9490922758366</v>
      </c>
      <c r="W8" s="171">
        <f t="shared" si="10"/>
        <v>1801.0136101717778</v>
      </c>
      <c r="X8" s="171">
        <f>C8*683921.08/201833.04</f>
        <v>1801.0136200693403</v>
      </c>
      <c r="Y8" s="171">
        <f t="shared" si="11"/>
        <v>1689.9751357809027</v>
      </c>
      <c r="Z8" s="171">
        <f>C8*683944.46/201839.94</f>
        <v>1801.0136174733307</v>
      </c>
      <c r="AA8" s="171">
        <f>C8*683924.13/201833.94</f>
        <v>1801.0136208756567</v>
      </c>
      <c r="AB8" s="171">
        <f>C8*683914.4/201831.07</f>
        <v>1801.0136080634165</v>
      </c>
      <c r="AC8" s="171">
        <f t="shared" si="1"/>
        <v>21178.8300052275</v>
      </c>
      <c r="AD8" s="171">
        <f t="shared" si="12"/>
        <v>122.57502196040343</v>
      </c>
      <c r="AE8" s="171">
        <f t="shared" si="13"/>
        <v>244.90615095163966</v>
      </c>
      <c r="AF8" s="171">
        <f t="shared" si="14"/>
        <v>105.20660177330444</v>
      </c>
      <c r="AG8" s="171">
        <f t="shared" si="15"/>
        <v>275.51922331325386</v>
      </c>
      <c r="AH8" s="171">
        <f t="shared" si="16"/>
        <v>61.959753680710584</v>
      </c>
      <c r="AI8" s="180">
        <f t="shared" si="17"/>
        <v>24.15423149267622</v>
      </c>
      <c r="AJ8" s="180">
        <f t="shared" si="18"/>
        <v>0</v>
      </c>
      <c r="AK8" s="180">
        <f t="shared" si="19"/>
        <v>65.76617426111457</v>
      </c>
      <c r="AL8" s="171">
        <f t="shared" si="20"/>
        <v>274.6913229912036</v>
      </c>
      <c r="AM8" s="171">
        <f>C8*58776.89/201839.94</f>
        <v>154.77569521176036</v>
      </c>
      <c r="AN8" s="171">
        <f>C8*61496.55/201833.94</f>
        <v>161.94212095844733</v>
      </c>
      <c r="AO8" s="171">
        <f>C8*24467.24/201831.07</f>
        <v>64.4317946686801</v>
      </c>
      <c r="AP8" s="171">
        <f t="shared" si="2"/>
        <v>1555.9280912631943</v>
      </c>
      <c r="AQ8" s="171">
        <f t="shared" si="3"/>
        <v>49336.1380964907</v>
      </c>
      <c r="AS8" s="143"/>
    </row>
    <row r="9" spans="1:45" s="24" customFormat="1" ht="12" customHeight="1">
      <c r="A9" s="8">
        <v>4</v>
      </c>
      <c r="B9" s="9" t="s">
        <v>7</v>
      </c>
      <c r="C9" s="309">
        <v>523.6</v>
      </c>
      <c r="D9" s="171"/>
      <c r="E9" s="171"/>
      <c r="F9" s="171"/>
      <c r="G9" s="171"/>
      <c r="H9" s="171"/>
      <c r="I9" s="171"/>
      <c r="J9" s="171">
        <f>17427.7+4997</f>
        <v>22424.7</v>
      </c>
      <c r="K9" s="171">
        <f>5902.84</f>
        <v>5902.84</v>
      </c>
      <c r="L9" s="182">
        <f>4097.64</f>
        <v>4097.64</v>
      </c>
      <c r="M9" s="171"/>
      <c r="N9" s="171"/>
      <c r="O9" s="171"/>
      <c r="P9" s="171">
        <f t="shared" si="0"/>
        <v>32425.18</v>
      </c>
      <c r="Q9" s="171">
        <f t="shared" si="4"/>
        <v>1774.2440691600723</v>
      </c>
      <c r="R9" s="171">
        <f t="shared" si="5"/>
        <v>1774.244069954492</v>
      </c>
      <c r="S9" s="171">
        <f t="shared" si="6"/>
        <v>1648.0471449118886</v>
      </c>
      <c r="T9" s="171">
        <f t="shared" si="7"/>
        <v>1774.2440666264652</v>
      </c>
      <c r="U9" s="171">
        <f t="shared" si="8"/>
        <v>1583.0001789629407</v>
      </c>
      <c r="V9" s="171">
        <f t="shared" si="9"/>
        <v>1774.1805168685385</v>
      </c>
      <c r="W9" s="171">
        <f t="shared" si="10"/>
        <v>1774.244075796694</v>
      </c>
      <c r="X9" s="171">
        <f>C9*684817.69/202097.64</f>
        <v>1774.2440856013952</v>
      </c>
      <c r="Y9" s="171">
        <f t="shared" si="11"/>
        <v>1664.8560321634632</v>
      </c>
      <c r="Z9" s="171">
        <f>C9*684639.99/202094.44</f>
        <v>1773.8117820757464</v>
      </c>
      <c r="AA9" s="171">
        <f>C9*684796/202091.24</f>
        <v>1774.2440770812236</v>
      </c>
      <c r="AB9" s="171">
        <f>C9*684791.93/202090.04</f>
        <v>1774.2440673869926</v>
      </c>
      <c r="AC9" s="171">
        <f t="shared" si="1"/>
        <v>20863.604166589914</v>
      </c>
      <c r="AD9" s="171">
        <f t="shared" si="12"/>
        <v>120.75311664810394</v>
      </c>
      <c r="AE9" s="171">
        <f t="shared" si="13"/>
        <v>241.265965453017</v>
      </c>
      <c r="AF9" s="171">
        <f t="shared" si="14"/>
        <v>103.64285360019228</v>
      </c>
      <c r="AG9" s="171">
        <f t="shared" si="15"/>
        <v>271.4240175481086</v>
      </c>
      <c r="AH9" s="171">
        <f t="shared" si="16"/>
        <v>61.03880908225788</v>
      </c>
      <c r="AI9" s="180">
        <f t="shared" si="17"/>
        <v>23.79521281197605</v>
      </c>
      <c r="AJ9" s="180">
        <f t="shared" si="18"/>
        <v>0</v>
      </c>
      <c r="AK9" s="180">
        <f t="shared" si="19"/>
        <v>64.7886525740726</v>
      </c>
      <c r="AL9" s="171">
        <f t="shared" si="20"/>
        <v>270.60842279998917</v>
      </c>
      <c r="AM9" s="171">
        <f>C9*66355.16/202094.44</f>
        <v>171.91745490870505</v>
      </c>
      <c r="AN9" s="171">
        <f>C9*74770.07/202091.24</f>
        <v>193.72244265510966</v>
      </c>
      <c r="AO9" s="171">
        <f aca="true" t="shared" si="21" ref="AO9:AO30">C9*35910.93/202090.04</f>
        <v>93.04250198574854</v>
      </c>
      <c r="AP9" s="171">
        <f t="shared" si="2"/>
        <v>1615.999450067281</v>
      </c>
      <c r="AQ9" s="171">
        <f t="shared" si="3"/>
        <v>54904.7836166572</v>
      </c>
      <c r="AS9" s="143"/>
    </row>
    <row r="10" spans="1:45" s="24" customFormat="1" ht="12" customHeight="1">
      <c r="A10" s="6">
        <v>5</v>
      </c>
      <c r="B10" s="9" t="s">
        <v>8</v>
      </c>
      <c r="C10" s="309">
        <v>95.1</v>
      </c>
      <c r="D10" s="171"/>
      <c r="E10" s="171"/>
      <c r="F10" s="171"/>
      <c r="G10" s="171"/>
      <c r="H10" s="171"/>
      <c r="I10" s="171"/>
      <c r="J10" s="171">
        <f>17427.7+4997</f>
        <v>22424.7</v>
      </c>
      <c r="K10" s="171"/>
      <c r="L10" s="182">
        <f>744.24</f>
        <v>744.24</v>
      </c>
      <c r="M10" s="171"/>
      <c r="N10" s="171"/>
      <c r="O10" s="171"/>
      <c r="P10" s="171">
        <f t="shared" si="0"/>
        <v>23168.940000000002</v>
      </c>
      <c r="Q10" s="171">
        <f t="shared" si="4"/>
        <v>322.25097589213686</v>
      </c>
      <c r="R10" s="171">
        <f t="shared" si="5"/>
        <v>322.2509760364251</v>
      </c>
      <c r="S10" s="171">
        <f t="shared" si="6"/>
        <v>299.3301823550813</v>
      </c>
      <c r="T10" s="171">
        <f t="shared" si="7"/>
        <v>322.2509754319649</v>
      </c>
      <c r="U10" s="171">
        <f t="shared" si="8"/>
        <v>287.5158842998007</v>
      </c>
      <c r="V10" s="171">
        <f t="shared" si="9"/>
        <v>322.23943306760503</v>
      </c>
      <c r="W10" s="171">
        <f t="shared" si="10"/>
        <v>322.2509770975279</v>
      </c>
      <c r="X10" s="171">
        <f aca="true" t="shared" si="22" ref="X10:X30">C10*684817.69/202097.64</f>
        <v>322.2509788783282</v>
      </c>
      <c r="Y10" s="171">
        <f t="shared" si="11"/>
        <v>302.38313342006364</v>
      </c>
      <c r="Z10" s="171">
        <f aca="true" t="shared" si="23" ref="Z10:Z30">C10*684639.99/202094.44</f>
        <v>322.1724608009997</v>
      </c>
      <c r="AA10" s="171">
        <f aca="true" t="shared" si="24" ref="AA10:AA30">C10*684796/202091.24</f>
        <v>322.25097733083334</v>
      </c>
      <c r="AB10" s="171">
        <f aca="true" t="shared" si="25" ref="AB10:AB30">C10*684791.93/202090.04</f>
        <v>322.25097557009735</v>
      </c>
      <c r="AC10" s="171">
        <f t="shared" si="1"/>
        <v>3789.397930180864</v>
      </c>
      <c r="AD10" s="171">
        <f t="shared" si="12"/>
        <v>21.932050025276325</v>
      </c>
      <c r="AE10" s="171">
        <f t="shared" si="13"/>
        <v>43.820460875824885</v>
      </c>
      <c r="AF10" s="171">
        <f t="shared" si="14"/>
        <v>18.824360919362654</v>
      </c>
      <c r="AG10" s="171">
        <f t="shared" si="15"/>
        <v>49.29798332472331</v>
      </c>
      <c r="AH10" s="171">
        <f t="shared" si="16"/>
        <v>11.086307761120556</v>
      </c>
      <c r="AI10" s="180">
        <f t="shared" si="17"/>
        <v>4.321857789188162</v>
      </c>
      <c r="AJ10" s="180">
        <f t="shared" si="18"/>
        <v>0</v>
      </c>
      <c r="AK10" s="180">
        <f t="shared" si="19"/>
        <v>11.76738132122671</v>
      </c>
      <c r="AL10" s="171">
        <f t="shared" si="20"/>
        <v>49.14984913727839</v>
      </c>
      <c r="AM10" s="171">
        <f aca="true" t="shared" si="26" ref="AM10:AM30">C10*66355.16/202094.44</f>
        <v>31.224885335786574</v>
      </c>
      <c r="AN10" s="171">
        <f aca="true" t="shared" si="27" ref="AN10:AN30">C10*74770.07/202091.24</f>
        <v>35.18526412624318</v>
      </c>
      <c r="AO10" s="171">
        <f t="shared" si="21"/>
        <v>16.89904877548641</v>
      </c>
      <c r="AP10" s="171">
        <f t="shared" si="2"/>
        <v>293.50944939151714</v>
      </c>
      <c r="AQ10" s="171">
        <f t="shared" si="3"/>
        <v>27251.847379572384</v>
      </c>
      <c r="AS10" s="143"/>
    </row>
    <row r="11" spans="1:45" s="24" customFormat="1" ht="12" customHeight="1">
      <c r="A11" s="8">
        <v>6</v>
      </c>
      <c r="B11" s="9" t="s">
        <v>9</v>
      </c>
      <c r="C11" s="309">
        <v>516.1</v>
      </c>
      <c r="D11" s="171"/>
      <c r="E11" s="171"/>
      <c r="F11" s="171"/>
      <c r="G11" s="171"/>
      <c r="H11" s="171"/>
      <c r="I11" s="171"/>
      <c r="J11" s="171">
        <f>17427.7+4997</f>
        <v>22424.7</v>
      </c>
      <c r="K11" s="171"/>
      <c r="L11" s="182">
        <v>4125.03</v>
      </c>
      <c r="M11" s="182"/>
      <c r="N11" s="171"/>
      <c r="O11" s="171"/>
      <c r="P11" s="171">
        <f t="shared" si="0"/>
        <v>26549.73</v>
      </c>
      <c r="Q11" s="171">
        <f t="shared" si="4"/>
        <v>1748.8299543420806</v>
      </c>
      <c r="R11" s="171">
        <f t="shared" si="5"/>
        <v>1748.829955125121</v>
      </c>
      <c r="S11" s="171">
        <f t="shared" si="6"/>
        <v>1624.4406636536014</v>
      </c>
      <c r="T11" s="171">
        <f t="shared" si="7"/>
        <v>1748.8299518447645</v>
      </c>
      <c r="U11" s="171">
        <f t="shared" si="8"/>
        <v>1560.325424680622</v>
      </c>
      <c r="V11" s="171">
        <f t="shared" si="9"/>
        <v>1748.7673123679385</v>
      </c>
      <c r="W11" s="171">
        <f t="shared" si="10"/>
        <v>1748.8299608836398</v>
      </c>
      <c r="X11" s="171">
        <f t="shared" si="22"/>
        <v>1748.8299705478994</v>
      </c>
      <c r="Y11" s="171">
        <f t="shared" si="11"/>
        <v>1641.008781893742</v>
      </c>
      <c r="Z11" s="171">
        <f t="shared" si="23"/>
        <v>1748.4038592996421</v>
      </c>
      <c r="AA11" s="171">
        <f t="shared" si="24"/>
        <v>1748.8299621497697</v>
      </c>
      <c r="AB11" s="171">
        <f t="shared" si="25"/>
        <v>1748.829952594398</v>
      </c>
      <c r="AC11" s="171">
        <f t="shared" si="1"/>
        <v>20564.75574938322</v>
      </c>
      <c r="AD11" s="171">
        <f t="shared" si="12"/>
        <v>119.02345970604745</v>
      </c>
      <c r="AE11" s="171">
        <f t="shared" si="13"/>
        <v>237.81009314419796</v>
      </c>
      <c r="AF11" s="171">
        <f t="shared" si="14"/>
        <v>102.15828254976937</v>
      </c>
      <c r="AG11" s="171">
        <f t="shared" si="15"/>
        <v>267.53616397360366</v>
      </c>
      <c r="AH11" s="171">
        <f t="shared" si="16"/>
        <v>60.16449459005594</v>
      </c>
      <c r="AI11" s="180">
        <f t="shared" si="17"/>
        <v>23.454372292323985</v>
      </c>
      <c r="AJ11" s="180">
        <f t="shared" si="18"/>
        <v>0</v>
      </c>
      <c r="AK11" s="180">
        <f t="shared" si="19"/>
        <v>63.86062565599479</v>
      </c>
      <c r="AL11" s="171">
        <f t="shared" si="20"/>
        <v>266.73225173238046</v>
      </c>
      <c r="AM11" s="171">
        <f t="shared" si="26"/>
        <v>169.45492451944747</v>
      </c>
      <c r="AN11" s="171">
        <f t="shared" si="27"/>
        <v>190.94757955367095</v>
      </c>
      <c r="AO11" s="171">
        <f t="shared" si="21"/>
        <v>91.70976943247673</v>
      </c>
      <c r="AP11" s="171">
        <f t="shared" si="2"/>
        <v>1592.852017149969</v>
      </c>
      <c r="AQ11" s="171">
        <f t="shared" si="3"/>
        <v>48707.337766533194</v>
      </c>
      <c r="AS11" s="143"/>
    </row>
    <row r="12" spans="1:45" s="24" customFormat="1" ht="12" customHeight="1">
      <c r="A12" s="6">
        <v>7</v>
      </c>
      <c r="B12" s="9" t="s">
        <v>10</v>
      </c>
      <c r="C12" s="309">
        <v>1474</v>
      </c>
      <c r="D12" s="171"/>
      <c r="E12" s="171"/>
      <c r="F12" s="171"/>
      <c r="G12" s="171"/>
      <c r="H12" s="171"/>
      <c r="I12" s="171">
        <f>29786.54</f>
        <v>29786.54</v>
      </c>
      <c r="J12" s="171">
        <f>7396.65</f>
        <v>7396.65</v>
      </c>
      <c r="K12" s="171">
        <f>1500</f>
        <v>1500</v>
      </c>
      <c r="L12" s="182">
        <f>11535.37</f>
        <v>11535.37</v>
      </c>
      <c r="M12" s="171">
        <f>4000</f>
        <v>4000</v>
      </c>
      <c r="N12" s="171"/>
      <c r="O12" s="171"/>
      <c r="P12" s="171">
        <f t="shared" si="0"/>
        <v>54218.560000000005</v>
      </c>
      <c r="Q12" s="171">
        <f t="shared" si="4"/>
        <v>4994.7206988960015</v>
      </c>
      <c r="R12" s="171">
        <f t="shared" si="5"/>
        <v>4994.7207011323935</v>
      </c>
      <c r="S12" s="171">
        <f t="shared" si="6"/>
        <v>4639.460449962039</v>
      </c>
      <c r="T12" s="171">
        <f t="shared" si="7"/>
        <v>4994.7206917635785</v>
      </c>
      <c r="U12" s="171">
        <f t="shared" si="8"/>
        <v>4456.345041618362</v>
      </c>
      <c r="V12" s="171">
        <f t="shared" si="9"/>
        <v>4994.541791184541</v>
      </c>
      <c r="W12" s="171">
        <f t="shared" si="10"/>
        <v>4994.720717578928</v>
      </c>
      <c r="X12" s="171">
        <f t="shared" si="22"/>
        <v>4994.720745180398</v>
      </c>
      <c r="Y12" s="171">
        <f t="shared" si="11"/>
        <v>4686.779586342522</v>
      </c>
      <c r="Z12" s="171">
        <f t="shared" si="23"/>
        <v>4993.503756263655</v>
      </c>
      <c r="AA12" s="171">
        <f t="shared" si="24"/>
        <v>4994.720721195041</v>
      </c>
      <c r="AB12" s="171">
        <f t="shared" si="25"/>
        <v>4994.720693904559</v>
      </c>
      <c r="AC12" s="171">
        <f t="shared" si="1"/>
        <v>58733.67559502201</v>
      </c>
      <c r="AD12" s="171">
        <f t="shared" si="12"/>
        <v>339.93524434550267</v>
      </c>
      <c r="AE12" s="171">
        <f t="shared" si="13"/>
        <v>679.1941044265604</v>
      </c>
      <c r="AF12" s="171">
        <f t="shared" si="14"/>
        <v>291.767697109785</v>
      </c>
      <c r="AG12" s="171">
        <f t="shared" si="15"/>
        <v>764.0928225093814</v>
      </c>
      <c r="AH12" s="171">
        <f t="shared" si="16"/>
        <v>171.8319415340873</v>
      </c>
      <c r="AI12" s="180">
        <f t="shared" si="17"/>
        <v>66.98652346228552</v>
      </c>
      <c r="AJ12" s="180">
        <f t="shared" si="18"/>
        <v>0</v>
      </c>
      <c r="AK12" s="180">
        <f t="shared" si="19"/>
        <v>182.38822363289344</v>
      </c>
      <c r="AL12" s="171">
        <f t="shared" si="20"/>
        <v>761.7968204873642</v>
      </c>
      <c r="AM12" s="171">
        <f t="shared" si="26"/>
        <v>483.96930583543025</v>
      </c>
      <c r="AN12" s="171">
        <f t="shared" si="27"/>
        <v>545.3530948694264</v>
      </c>
      <c r="AO12" s="171">
        <f t="shared" si="21"/>
        <v>261.9263711363509</v>
      </c>
      <c r="AP12" s="171">
        <f t="shared" si="2"/>
        <v>4549.242149349068</v>
      </c>
      <c r="AQ12" s="171">
        <f t="shared" si="3"/>
        <v>117501.47774437108</v>
      </c>
      <c r="AS12" s="143"/>
    </row>
    <row r="13" spans="1:45" s="24" customFormat="1" ht="12" customHeight="1">
      <c r="A13" s="8">
        <v>8</v>
      </c>
      <c r="B13" s="9" t="s">
        <v>11</v>
      </c>
      <c r="C13" s="309">
        <v>521.4</v>
      </c>
      <c r="D13" s="173">
        <v>11390.67</v>
      </c>
      <c r="E13" s="171"/>
      <c r="F13" s="171"/>
      <c r="G13" s="171"/>
      <c r="H13" s="171"/>
      <c r="I13" s="171"/>
      <c r="J13" s="171">
        <f>17427.7+4997</f>
        <v>22424.7</v>
      </c>
      <c r="K13" s="171"/>
      <c r="L13" s="182">
        <f>4004.51</f>
        <v>4004.51</v>
      </c>
      <c r="M13" s="171"/>
      <c r="N13" s="171"/>
      <c r="O13" s="171"/>
      <c r="P13" s="171">
        <f t="shared" si="0"/>
        <v>37819.880000000005</v>
      </c>
      <c r="Q13" s="171">
        <f t="shared" si="4"/>
        <v>1766.7892621467945</v>
      </c>
      <c r="R13" s="171">
        <f t="shared" si="5"/>
        <v>1766.7892629378762</v>
      </c>
      <c r="S13" s="171">
        <f t="shared" si="6"/>
        <v>1641.1225770761241</v>
      </c>
      <c r="T13" s="171">
        <f t="shared" si="7"/>
        <v>1766.789259623833</v>
      </c>
      <c r="U13" s="171">
        <f t="shared" si="8"/>
        <v>1576.3489177067938</v>
      </c>
      <c r="V13" s="171">
        <f t="shared" si="9"/>
        <v>1766.7259768816957</v>
      </c>
      <c r="W13" s="171">
        <f t="shared" si="10"/>
        <v>1766.7892687555313</v>
      </c>
      <c r="X13" s="171">
        <f t="shared" si="22"/>
        <v>1766.7892785190365</v>
      </c>
      <c r="Y13" s="171">
        <f t="shared" si="11"/>
        <v>1657.8608387510114</v>
      </c>
      <c r="Z13" s="171">
        <f t="shared" si="23"/>
        <v>1766.3587913947556</v>
      </c>
      <c r="AA13" s="171">
        <f t="shared" si="24"/>
        <v>1766.7892700346636</v>
      </c>
      <c r="AB13" s="171">
        <f t="shared" si="25"/>
        <v>1766.7892603811647</v>
      </c>
      <c r="AC13" s="171">
        <f t="shared" si="1"/>
        <v>20775.94196420928</v>
      </c>
      <c r="AD13" s="171">
        <f t="shared" si="12"/>
        <v>120.24575061176736</v>
      </c>
      <c r="AE13" s="171">
        <f t="shared" si="13"/>
        <v>240.25224290909674</v>
      </c>
      <c r="AF13" s="171">
        <f t="shared" si="14"/>
        <v>103.20737942540156</v>
      </c>
      <c r="AG13" s="171">
        <f t="shared" si="15"/>
        <v>270.2835804995871</v>
      </c>
      <c r="AH13" s="171">
        <f t="shared" si="16"/>
        <v>60.782343497878635</v>
      </c>
      <c r="AI13" s="180">
        <f t="shared" si="17"/>
        <v>23.695232926211443</v>
      </c>
      <c r="AJ13" s="180">
        <f t="shared" si="18"/>
        <v>0</v>
      </c>
      <c r="AK13" s="180">
        <f t="shared" si="19"/>
        <v>64.51643134476977</v>
      </c>
      <c r="AL13" s="171">
        <f t="shared" si="20"/>
        <v>269.4714126201572</v>
      </c>
      <c r="AM13" s="171">
        <f t="shared" si="26"/>
        <v>171.1951126611895</v>
      </c>
      <c r="AN13" s="171">
        <f t="shared" si="27"/>
        <v>192.90848281202096</v>
      </c>
      <c r="AO13" s="171">
        <f t="shared" si="21"/>
        <v>92.65156710345546</v>
      </c>
      <c r="AP13" s="171">
        <f t="shared" si="2"/>
        <v>1609.2095364115357</v>
      </c>
      <c r="AQ13" s="171">
        <f t="shared" si="3"/>
        <v>60205.031500620826</v>
      </c>
      <c r="AS13" s="143"/>
    </row>
    <row r="14" spans="1:45" s="24" customFormat="1" ht="12" customHeight="1">
      <c r="A14" s="6">
        <v>9</v>
      </c>
      <c r="B14" s="9" t="s">
        <v>12</v>
      </c>
      <c r="C14" s="310">
        <v>3440.9</v>
      </c>
      <c r="D14" s="171"/>
      <c r="E14" s="171"/>
      <c r="F14" s="171"/>
      <c r="G14" s="171"/>
      <c r="H14" s="171">
        <f>10446.5</f>
        <v>10446.5</v>
      </c>
      <c r="I14" s="171">
        <f>23969.87+51200</f>
        <v>75169.87</v>
      </c>
      <c r="J14" s="171">
        <f>87525+42180.39+7396.65+7332.09</f>
        <v>144434.13</v>
      </c>
      <c r="K14" s="171">
        <f>15200</f>
        <v>15200</v>
      </c>
      <c r="L14" s="182">
        <f>26921.86</f>
        <v>26921.86</v>
      </c>
      <c r="M14" s="171"/>
      <c r="N14" s="171">
        <f>35500+30100+153444.45</f>
        <v>219044.45</v>
      </c>
      <c r="O14" s="171"/>
      <c r="P14" s="171">
        <f t="shared" si="0"/>
        <v>491216.81</v>
      </c>
      <c r="Q14" s="171">
        <f t="shared" si="4"/>
        <v>11659.657023630429</v>
      </c>
      <c r="R14" s="171">
        <f t="shared" si="5"/>
        <v>11659.657028851052</v>
      </c>
      <c r="S14" s="171">
        <f t="shared" si="6"/>
        <v>10830.338848218711</v>
      </c>
      <c r="T14" s="171">
        <f t="shared" si="7"/>
        <v>11659.657006980528</v>
      </c>
      <c r="U14" s="171">
        <f t="shared" si="8"/>
        <v>10402.874934670708</v>
      </c>
      <c r="V14" s="171">
        <f t="shared" si="9"/>
        <v>11659.239382148498</v>
      </c>
      <c r="W14" s="171">
        <f t="shared" si="10"/>
        <v>11659.657067243783</v>
      </c>
      <c r="X14" s="171">
        <f t="shared" si="22"/>
        <v>11659.65713167655</v>
      </c>
      <c r="Y14" s="171">
        <f t="shared" si="11"/>
        <v>10940.800460411116</v>
      </c>
      <c r="Z14" s="171">
        <f t="shared" si="23"/>
        <v>11656.816197372873</v>
      </c>
      <c r="AA14" s="171">
        <f t="shared" si="24"/>
        <v>11659.657075685222</v>
      </c>
      <c r="AB14" s="171">
        <f t="shared" si="25"/>
        <v>11659.657011978425</v>
      </c>
      <c r="AC14" s="171">
        <f t="shared" si="1"/>
        <v>137107.6691688679</v>
      </c>
      <c r="AD14" s="171">
        <f t="shared" si="12"/>
        <v>793.5435429229581</v>
      </c>
      <c r="AE14" s="171">
        <f t="shared" si="13"/>
        <v>1585.5081369887052</v>
      </c>
      <c r="AF14" s="171">
        <f t="shared" si="14"/>
        <v>681.1014036533644</v>
      </c>
      <c r="AG14" s="171">
        <f t="shared" si="15"/>
        <v>1783.695381935231</v>
      </c>
      <c r="AH14" s="171">
        <f t="shared" si="16"/>
        <v>401.12383149568586</v>
      </c>
      <c r="AI14" s="180">
        <f t="shared" si="17"/>
        <v>156.37308587610462</v>
      </c>
      <c r="AJ14" s="180">
        <f t="shared" si="18"/>
        <v>0</v>
      </c>
      <c r="AK14" s="180">
        <f t="shared" si="19"/>
        <v>425.76637632186106</v>
      </c>
      <c r="AL14" s="171">
        <f t="shared" si="20"/>
        <v>1778.335603537973</v>
      </c>
      <c r="AM14" s="171">
        <f t="shared" si="26"/>
        <v>1129.7761088528712</v>
      </c>
      <c r="AN14" s="171">
        <f t="shared" si="27"/>
        <v>1273.0701927654065</v>
      </c>
      <c r="AO14" s="171">
        <f t="shared" si="21"/>
        <v>611.4399256737245</v>
      </c>
      <c r="AP14" s="171">
        <f t="shared" si="2"/>
        <v>10619.733590023885</v>
      </c>
      <c r="AQ14" s="171">
        <f t="shared" si="3"/>
        <v>638944.2127588919</v>
      </c>
      <c r="AS14" s="143"/>
    </row>
    <row r="15" spans="1:45" s="24" customFormat="1" ht="12" customHeight="1">
      <c r="A15" s="8">
        <v>10</v>
      </c>
      <c r="B15" s="9" t="s">
        <v>13</v>
      </c>
      <c r="C15" s="310">
        <v>3469.3</v>
      </c>
      <c r="D15" s="171">
        <v>3501.3</v>
      </c>
      <c r="E15" s="171">
        <v>1849.07</v>
      </c>
      <c r="F15" s="171"/>
      <c r="G15" s="171"/>
      <c r="H15" s="171"/>
      <c r="I15" s="171">
        <f>51200</f>
        <v>51200</v>
      </c>
      <c r="J15" s="171">
        <f>42180.39+7396.65+22651.55+26150+26150</f>
        <v>124528.59</v>
      </c>
      <c r="K15" s="171">
        <f>4500</f>
        <v>4500</v>
      </c>
      <c r="L15" s="182">
        <f>3301.64+27110.47+425236</f>
        <v>455648.11</v>
      </c>
      <c r="M15" s="171"/>
      <c r="N15" s="171">
        <f>8650.1</f>
        <v>8650.1</v>
      </c>
      <c r="O15" s="171">
        <f>3682.24</f>
        <v>3682.24</v>
      </c>
      <c r="P15" s="171">
        <f t="shared" si="0"/>
        <v>653559.4099999999</v>
      </c>
      <c r="Q15" s="171">
        <f t="shared" si="4"/>
        <v>11755.891805074558</v>
      </c>
      <c r="R15" s="171">
        <f t="shared" si="5"/>
        <v>11755.891810338271</v>
      </c>
      <c r="S15" s="171">
        <f t="shared" si="6"/>
        <v>10919.72872391676</v>
      </c>
      <c r="T15" s="171">
        <f t="shared" si="7"/>
        <v>11755.891788287234</v>
      </c>
      <c r="U15" s="171">
        <f t="shared" si="8"/>
        <v>10488.736670886423</v>
      </c>
      <c r="V15" s="171">
        <f t="shared" si="9"/>
        <v>11755.470716524103</v>
      </c>
      <c r="W15" s="171">
        <f t="shared" si="10"/>
        <v>11755.89184904788</v>
      </c>
      <c r="X15" s="171">
        <f t="shared" si="22"/>
        <v>11755.891914012453</v>
      </c>
      <c r="Y15" s="171">
        <f t="shared" si="11"/>
        <v>11031.102048099126</v>
      </c>
      <c r="Z15" s="171">
        <f t="shared" si="23"/>
        <v>11753.027531618387</v>
      </c>
      <c r="AA15" s="171">
        <f t="shared" si="24"/>
        <v>11755.891857558992</v>
      </c>
      <c r="AB15" s="171">
        <f t="shared" si="25"/>
        <v>11755.89179332638</v>
      </c>
      <c r="AC15" s="171">
        <f t="shared" si="1"/>
        <v>138239.30850869056</v>
      </c>
      <c r="AD15" s="171">
        <f t="shared" si="12"/>
        <v>800.0931772102119</v>
      </c>
      <c r="AE15" s="171">
        <f t="shared" si="13"/>
        <v>1598.5943734647667</v>
      </c>
      <c r="AF15" s="171">
        <f t="shared" si="14"/>
        <v>686.7229793642994</v>
      </c>
      <c r="AG15" s="171">
        <f t="shared" si="15"/>
        <v>1798.41738747069</v>
      </c>
      <c r="AH15" s="171">
        <f t="shared" si="16"/>
        <v>404.43456903949055</v>
      </c>
      <c r="AI15" s="180">
        <f t="shared" si="17"/>
        <v>157.66373531052045</v>
      </c>
      <c r="AJ15" s="180">
        <f t="shared" si="18"/>
        <v>0</v>
      </c>
      <c r="AK15" s="180">
        <f t="shared" si="19"/>
        <v>429.2805049183157</v>
      </c>
      <c r="AL15" s="171">
        <f t="shared" si="20"/>
        <v>1793.0133713139846</v>
      </c>
      <c r="AM15" s="171">
        <f t="shared" si="26"/>
        <v>1139.1008905935266</v>
      </c>
      <c r="AN15" s="171">
        <f t="shared" si="27"/>
        <v>1283.577674376188</v>
      </c>
      <c r="AO15" s="171">
        <f t="shared" si="21"/>
        <v>616.4865396087803</v>
      </c>
      <c r="AP15" s="171">
        <f t="shared" si="2"/>
        <v>10707.385202670775</v>
      </c>
      <c r="AQ15" s="171">
        <f t="shared" si="3"/>
        <v>802506.1037113613</v>
      </c>
      <c r="AS15" s="143"/>
    </row>
    <row r="16" spans="1:45" s="24" customFormat="1" ht="12" customHeight="1">
      <c r="A16" s="6">
        <v>11</v>
      </c>
      <c r="B16" s="9" t="s">
        <v>14</v>
      </c>
      <c r="C16" s="310">
        <v>4256.6</v>
      </c>
      <c r="D16" s="171">
        <v>7066.34</v>
      </c>
      <c r="E16" s="171"/>
      <c r="F16" s="171"/>
      <c r="G16" s="171">
        <f>5591.02+81935.98</f>
        <v>87527</v>
      </c>
      <c r="H16" s="171"/>
      <c r="I16" s="171">
        <f>1294032.16</f>
        <v>1294032.16</v>
      </c>
      <c r="J16" s="171">
        <f>42180.39+7396.65</f>
        <v>49577.04</v>
      </c>
      <c r="K16" s="171">
        <f>5200+14000+22100+1562.72</f>
        <v>42862.72</v>
      </c>
      <c r="L16" s="182">
        <f>33296.84</f>
        <v>33296.84</v>
      </c>
      <c r="M16" s="171"/>
      <c r="N16" s="171"/>
      <c r="O16" s="171"/>
      <c r="P16" s="171">
        <f t="shared" si="0"/>
        <v>1514362.1</v>
      </c>
      <c r="Q16" s="171">
        <f t="shared" si="4"/>
        <v>14423.696151235226</v>
      </c>
      <c r="R16" s="171">
        <f t="shared" si="5"/>
        <v>14423.696157693452</v>
      </c>
      <c r="S16" s="171">
        <f t="shared" si="6"/>
        <v>13397.779749870026</v>
      </c>
      <c r="T16" s="171">
        <f t="shared" si="7"/>
        <v>14423.696130638298</v>
      </c>
      <c r="U16" s="171">
        <f t="shared" si="8"/>
        <v>12868.981210415688</v>
      </c>
      <c r="V16" s="171">
        <f t="shared" si="9"/>
        <v>14423.179503633732</v>
      </c>
      <c r="W16" s="171">
        <f t="shared" si="10"/>
        <v>14423.696205187563</v>
      </c>
      <c r="X16" s="171">
        <f t="shared" si="22"/>
        <v>14423.696284894766</v>
      </c>
      <c r="Y16" s="171">
        <f t="shared" si="11"/>
        <v>13534.427399745984</v>
      </c>
      <c r="Z16" s="171">
        <f t="shared" si="23"/>
        <v>14420.181878501951</v>
      </c>
      <c r="AA16" s="171">
        <f t="shared" si="24"/>
        <v>14423.69621563013</v>
      </c>
      <c r="AB16" s="171">
        <f t="shared" si="25"/>
        <v>14423.696136820994</v>
      </c>
      <c r="AC16" s="171">
        <f t="shared" si="1"/>
        <v>169610.4230242678</v>
      </c>
      <c r="AD16" s="171">
        <f t="shared" si="12"/>
        <v>981.6610319410222</v>
      </c>
      <c r="AE16" s="171">
        <f t="shared" si="13"/>
        <v>1961.3688092958598</v>
      </c>
      <c r="AF16" s="171">
        <f t="shared" si="14"/>
        <v>842.5633510973616</v>
      </c>
      <c r="AG16" s="171">
        <f t="shared" si="15"/>
        <v>2206.5383366983942</v>
      </c>
      <c r="AH16" s="171">
        <f t="shared" si="16"/>
        <v>496.21427566756853</v>
      </c>
      <c r="AI16" s="180">
        <f t="shared" si="17"/>
        <v>193.44290079346305</v>
      </c>
      <c r="AJ16" s="180">
        <f t="shared" si="18"/>
        <v>0</v>
      </c>
      <c r="AK16" s="180">
        <f t="shared" si="19"/>
        <v>526.6985839320043</v>
      </c>
      <c r="AL16" s="171">
        <f t="shared" si="20"/>
        <v>2199.9079688510956</v>
      </c>
      <c r="AM16" s="171">
        <f t="shared" si="26"/>
        <v>1397.6009139885296</v>
      </c>
      <c r="AN16" s="171">
        <f t="shared" si="27"/>
        <v>1574.8643036778838</v>
      </c>
      <c r="AO16" s="171">
        <f t="shared" si="21"/>
        <v>756.3879181675653</v>
      </c>
      <c r="AP16" s="171">
        <f t="shared" si="2"/>
        <v>13137.24839411075</v>
      </c>
      <c r="AQ16" s="171">
        <f t="shared" si="3"/>
        <v>1697109.7714183787</v>
      </c>
      <c r="AS16" s="143"/>
    </row>
    <row r="17" spans="1:45" s="24" customFormat="1" ht="12" customHeight="1">
      <c r="A17" s="8">
        <v>12</v>
      </c>
      <c r="B17" s="9" t="s">
        <v>15</v>
      </c>
      <c r="C17" s="310">
        <v>1892.55</v>
      </c>
      <c r="D17" s="171"/>
      <c r="E17" s="171">
        <v>13709.59</v>
      </c>
      <c r="F17" s="171">
        <f>13836.07+62030.59</f>
        <v>75866.66</v>
      </c>
      <c r="G17" s="171">
        <f>7146.28+15159.13</f>
        <v>22305.41</v>
      </c>
      <c r="H17" s="173">
        <f>29786.54</f>
        <v>29786.54</v>
      </c>
      <c r="I17" s="171"/>
      <c r="J17" s="171">
        <f>7396.65</f>
        <v>7396.65</v>
      </c>
      <c r="K17" s="171">
        <f>2249.09</f>
        <v>2249.09</v>
      </c>
      <c r="L17" s="182">
        <f>14797.99</f>
        <v>14797.99</v>
      </c>
      <c r="M17" s="171"/>
      <c r="N17" s="171"/>
      <c r="O17" s="171"/>
      <c r="P17" s="171">
        <f t="shared" si="0"/>
        <v>166111.93</v>
      </c>
      <c r="Q17" s="171">
        <f t="shared" si="4"/>
        <v>6412.9977331720675</v>
      </c>
      <c r="R17" s="171">
        <f t="shared" si="5"/>
        <v>6412.997736043493</v>
      </c>
      <c r="S17" s="171">
        <f t="shared" si="6"/>
        <v>5956.859480716185</v>
      </c>
      <c r="T17" s="171">
        <f t="shared" si="7"/>
        <v>6412.997724014354</v>
      </c>
      <c r="U17" s="171">
        <f t="shared" si="8"/>
        <v>5721.7474956002925</v>
      </c>
      <c r="V17" s="171">
        <f t="shared" si="9"/>
        <v>6412.768023681345</v>
      </c>
      <c r="W17" s="171">
        <f t="shared" si="10"/>
        <v>6412.997757160109</v>
      </c>
      <c r="X17" s="171">
        <f t="shared" si="22"/>
        <v>6412.99779259916</v>
      </c>
      <c r="Y17" s="171">
        <f t="shared" si="11"/>
        <v>6017.615133061425</v>
      </c>
      <c r="Z17" s="171">
        <f t="shared" si="23"/>
        <v>6411.435233322103</v>
      </c>
      <c r="AA17" s="171">
        <f t="shared" si="24"/>
        <v>6412.997761803035</v>
      </c>
      <c r="AB17" s="171">
        <f t="shared" si="25"/>
        <v>6412.9977267632785</v>
      </c>
      <c r="AC17" s="171">
        <f t="shared" si="1"/>
        <v>75411.40959793686</v>
      </c>
      <c r="AD17" s="171">
        <f t="shared" si="12"/>
        <v>436.4616327585353</v>
      </c>
      <c r="AE17" s="171">
        <f t="shared" si="13"/>
        <v>872.0548184073858</v>
      </c>
      <c r="AF17" s="171">
        <f t="shared" si="14"/>
        <v>374.61665886372026</v>
      </c>
      <c r="AG17" s="171">
        <f t="shared" si="15"/>
        <v>981.06097099059</v>
      </c>
      <c r="AH17" s="171">
        <f t="shared" si="16"/>
        <v>220.62451896223672</v>
      </c>
      <c r="AI17" s="180">
        <f t="shared" si="17"/>
        <v>86.00769672900165</v>
      </c>
      <c r="AJ17" s="180">
        <f t="shared" si="18"/>
        <v>0</v>
      </c>
      <c r="AK17" s="180">
        <f t="shared" si="19"/>
        <v>234.17831250775612</v>
      </c>
      <c r="AL17" s="171">
        <f t="shared" si="20"/>
        <v>978.1130072003808</v>
      </c>
      <c r="AM17" s="171">
        <f t="shared" si="26"/>
        <v>621.394918425267</v>
      </c>
      <c r="AN17" s="171">
        <f t="shared" si="27"/>
        <v>700.2089550170508</v>
      </c>
      <c r="AO17" s="171">
        <f t="shared" si="21"/>
        <v>336.30173249260577</v>
      </c>
      <c r="AP17" s="171">
        <f t="shared" si="2"/>
        <v>5841.02322235453</v>
      </c>
      <c r="AQ17" s="171">
        <f t="shared" si="3"/>
        <v>247364.36282029137</v>
      </c>
      <c r="AS17" s="143"/>
    </row>
    <row r="18" spans="1:45" s="24" customFormat="1" ht="12" customHeight="1">
      <c r="A18" s="6">
        <v>13</v>
      </c>
      <c r="B18" s="9" t="s">
        <v>16</v>
      </c>
      <c r="C18" s="310">
        <v>4290.7</v>
      </c>
      <c r="D18" s="171"/>
      <c r="E18" s="171"/>
      <c r="F18" s="171"/>
      <c r="G18" s="171"/>
      <c r="H18" s="171">
        <f>42180.39</f>
        <v>42180.39</v>
      </c>
      <c r="I18" s="171">
        <f>1798.51</f>
        <v>1798.51</v>
      </c>
      <c r="J18" s="171">
        <f>7396.65+5965.1</f>
        <v>13361.75</v>
      </c>
      <c r="K18" s="171"/>
      <c r="L18" s="182">
        <f>33430.66</f>
        <v>33430.66</v>
      </c>
      <c r="M18" s="171"/>
      <c r="N18" s="171"/>
      <c r="O18" s="171"/>
      <c r="P18" s="171">
        <f t="shared" si="0"/>
        <v>90771.31</v>
      </c>
      <c r="Q18" s="171">
        <f t="shared" si="4"/>
        <v>14539.245659941025</v>
      </c>
      <c r="R18" s="171">
        <f t="shared" si="5"/>
        <v>14539.245666450988</v>
      </c>
      <c r="S18" s="171">
        <f t="shared" si="6"/>
        <v>13505.11055132437</v>
      </c>
      <c r="T18" s="171">
        <f t="shared" si="7"/>
        <v>14539.245639179095</v>
      </c>
      <c r="U18" s="171">
        <f t="shared" si="8"/>
        <v>12972.075759885962</v>
      </c>
      <c r="V18" s="171">
        <f t="shared" si="9"/>
        <v>14538.72487342979</v>
      </c>
      <c r="W18" s="171">
        <f t="shared" si="10"/>
        <v>14539.245714325582</v>
      </c>
      <c r="X18" s="171">
        <f t="shared" si="22"/>
        <v>14539.245794671326</v>
      </c>
      <c r="Y18" s="171">
        <f t="shared" si="11"/>
        <v>13642.852897638983</v>
      </c>
      <c r="Z18" s="171">
        <f t="shared" si="23"/>
        <v>14535.703234057304</v>
      </c>
      <c r="AA18" s="171">
        <f t="shared" si="24"/>
        <v>14539.245724851804</v>
      </c>
      <c r="AB18" s="171">
        <f t="shared" si="25"/>
        <v>14539.245645411323</v>
      </c>
      <c r="AC18" s="171">
        <f t="shared" si="1"/>
        <v>170969.1871611675</v>
      </c>
      <c r="AD18" s="171">
        <f t="shared" si="12"/>
        <v>989.5252055042389</v>
      </c>
      <c r="AE18" s="171">
        <f t="shared" si="13"/>
        <v>1977.0815087266233</v>
      </c>
      <c r="AF18" s="171">
        <f t="shared" si="14"/>
        <v>849.3132008066177</v>
      </c>
      <c r="AG18" s="171">
        <f t="shared" si="15"/>
        <v>2224.2151109504766</v>
      </c>
      <c r="AH18" s="171">
        <f t="shared" si="16"/>
        <v>500.18949222544666</v>
      </c>
      <c r="AI18" s="180">
        <f t="shared" si="17"/>
        <v>194.99258902281437</v>
      </c>
      <c r="AJ18" s="180">
        <f t="shared" si="18"/>
        <v>0</v>
      </c>
      <c r="AK18" s="180">
        <f t="shared" si="19"/>
        <v>530.918012986198</v>
      </c>
      <c r="AL18" s="171">
        <f t="shared" si="20"/>
        <v>2217.53162663849</v>
      </c>
      <c r="AM18" s="171">
        <f t="shared" si="26"/>
        <v>1408.7972188250208</v>
      </c>
      <c r="AN18" s="171">
        <f t="shared" si="27"/>
        <v>1587.4806812457584</v>
      </c>
      <c r="AO18" s="171">
        <f t="shared" si="21"/>
        <v>762.4474088431076</v>
      </c>
      <c r="AP18" s="171">
        <f t="shared" si="2"/>
        <v>13242.492055774792</v>
      </c>
      <c r="AQ18" s="171">
        <f t="shared" si="3"/>
        <v>274982.9892169423</v>
      </c>
      <c r="AS18" s="143"/>
    </row>
    <row r="19" spans="1:45" s="24" customFormat="1" ht="12" customHeight="1">
      <c r="A19" s="8">
        <v>14</v>
      </c>
      <c r="B19" s="9" t="s">
        <v>17</v>
      </c>
      <c r="C19" s="310">
        <v>1239</v>
      </c>
      <c r="D19" s="171"/>
      <c r="E19" s="171"/>
      <c r="F19" s="171"/>
      <c r="G19" s="171"/>
      <c r="H19" s="171">
        <f>29786.54</f>
        <v>29786.54</v>
      </c>
      <c r="I19" s="171"/>
      <c r="J19" s="171">
        <v>7396.65</v>
      </c>
      <c r="K19" s="171">
        <f>1500+6775.08+3221+20219</f>
        <v>31715.08</v>
      </c>
      <c r="L19" s="182">
        <f>9696.28</f>
        <v>9696.28</v>
      </c>
      <c r="M19" s="171">
        <f>17000</f>
        <v>17000</v>
      </c>
      <c r="N19" s="171"/>
      <c r="O19" s="171"/>
      <c r="P19" s="171">
        <f t="shared" si="0"/>
        <v>95594.55</v>
      </c>
      <c r="Q19" s="171">
        <f t="shared" si="4"/>
        <v>4198.411767932256</v>
      </c>
      <c r="R19" s="171">
        <f t="shared" si="5"/>
        <v>4198.4117698121</v>
      </c>
      <c r="S19" s="171">
        <f t="shared" si="6"/>
        <v>3899.790703869041</v>
      </c>
      <c r="T19" s="171">
        <f t="shared" si="7"/>
        <v>4198.411761936956</v>
      </c>
      <c r="U19" s="171">
        <f t="shared" si="8"/>
        <v>3745.8694074390446</v>
      </c>
      <c r="V19" s="171">
        <f t="shared" si="9"/>
        <v>4198.261383499082</v>
      </c>
      <c r="W19" s="171">
        <f t="shared" si="10"/>
        <v>4198.411783636562</v>
      </c>
      <c r="X19" s="171">
        <f t="shared" si="22"/>
        <v>4198.4118068375265</v>
      </c>
      <c r="Y19" s="171">
        <f t="shared" si="11"/>
        <v>3939.5657445579272</v>
      </c>
      <c r="Z19" s="171">
        <f t="shared" si="23"/>
        <v>4197.388842612395</v>
      </c>
      <c r="AA19" s="171">
        <f t="shared" si="24"/>
        <v>4198.411786676157</v>
      </c>
      <c r="AB19" s="171">
        <f t="shared" si="25"/>
        <v>4198.4117637366</v>
      </c>
      <c r="AC19" s="171">
        <f t="shared" si="1"/>
        <v>49369.75852254565</v>
      </c>
      <c r="AD19" s="171">
        <f t="shared" si="12"/>
        <v>285.73932682773255</v>
      </c>
      <c r="AE19" s="171">
        <f t="shared" si="13"/>
        <v>570.9101054168985</v>
      </c>
      <c r="AF19" s="171">
        <f t="shared" si="14"/>
        <v>245.25113752986678</v>
      </c>
      <c r="AG19" s="171">
        <f t="shared" si="15"/>
        <v>642.273410508225</v>
      </c>
      <c r="AH19" s="171">
        <f t="shared" si="16"/>
        <v>144.43675411175994</v>
      </c>
      <c r="AI19" s="180">
        <f t="shared" si="17"/>
        <v>56.30685384652086</v>
      </c>
      <c r="AJ19" s="180">
        <f t="shared" si="18"/>
        <v>0</v>
      </c>
      <c r="AK19" s="180">
        <f t="shared" si="19"/>
        <v>153.31004686645522</v>
      </c>
      <c r="AL19" s="171">
        <f t="shared" si="20"/>
        <v>640.3434603689582</v>
      </c>
      <c r="AM19" s="171">
        <f t="shared" si="26"/>
        <v>406.81002030535825</v>
      </c>
      <c r="AN19" s="171">
        <f t="shared" si="27"/>
        <v>458.4073843576793</v>
      </c>
      <c r="AO19" s="171">
        <f t="shared" si="21"/>
        <v>220.1674178005012</v>
      </c>
      <c r="AP19" s="171">
        <f t="shared" si="2"/>
        <v>3823.9559179399557</v>
      </c>
      <c r="AQ19" s="171">
        <f t="shared" si="3"/>
        <v>148788.2644404856</v>
      </c>
      <c r="AS19" s="143"/>
    </row>
    <row r="20" spans="1:45" s="24" customFormat="1" ht="12" customHeight="1">
      <c r="A20" s="6">
        <v>15</v>
      </c>
      <c r="B20" s="9" t="s">
        <v>18</v>
      </c>
      <c r="C20" s="310">
        <v>4627.47</v>
      </c>
      <c r="D20" s="171">
        <v>4672.54</v>
      </c>
      <c r="E20" s="171"/>
      <c r="F20" s="171"/>
      <c r="G20" s="171"/>
      <c r="H20" s="171">
        <f>42180.39+6522.47</f>
        <v>48702.86</v>
      </c>
      <c r="I20" s="171"/>
      <c r="J20" s="171">
        <f>7396.65+15319.46+26150+26150</f>
        <v>75016.11</v>
      </c>
      <c r="K20" s="171">
        <f>7500+5794.99+4547.55+28225</f>
        <v>46067.54</v>
      </c>
      <c r="L20" s="182">
        <f>36067.52</f>
        <v>36067.52</v>
      </c>
      <c r="M20" s="171"/>
      <c r="N20" s="171"/>
      <c r="O20" s="171"/>
      <c r="P20" s="171">
        <f t="shared" si="0"/>
        <v>210526.57</v>
      </c>
      <c r="Q20" s="171">
        <f t="shared" si="4"/>
        <v>15680.407186241711</v>
      </c>
      <c r="R20" s="171">
        <f t="shared" si="5"/>
        <v>15680.40719326263</v>
      </c>
      <c r="S20" s="171">
        <f t="shared" si="6"/>
        <v>14565.104510438154</v>
      </c>
      <c r="T20" s="171">
        <f t="shared" si="7"/>
        <v>15680.407163850208</v>
      </c>
      <c r="U20" s="171">
        <f t="shared" si="8"/>
        <v>13990.23269317349</v>
      </c>
      <c r="V20" s="171">
        <f t="shared" si="9"/>
        <v>15679.845524052054</v>
      </c>
      <c r="W20" s="171">
        <f t="shared" si="10"/>
        <v>15680.40724489482</v>
      </c>
      <c r="X20" s="171">
        <f t="shared" si="22"/>
        <v>15680.407331546769</v>
      </c>
      <c r="Y20" s="171">
        <f t="shared" si="11"/>
        <v>14713.658027416846</v>
      </c>
      <c r="Z20" s="171">
        <f t="shared" si="23"/>
        <v>15676.586721165115</v>
      </c>
      <c r="AA20" s="171">
        <f t="shared" si="24"/>
        <v>15680.40725624723</v>
      </c>
      <c r="AB20" s="171">
        <f t="shared" si="25"/>
        <v>15680.407170571594</v>
      </c>
      <c r="AC20" s="171">
        <f t="shared" si="1"/>
        <v>184388.27802286064</v>
      </c>
      <c r="AD20" s="171">
        <f t="shared" si="12"/>
        <v>1067.1914146210877</v>
      </c>
      <c r="AE20" s="171">
        <f t="shared" si="13"/>
        <v>2132.2593910520864</v>
      </c>
      <c r="AF20" s="171">
        <f t="shared" si="14"/>
        <v>915.9743998267415</v>
      </c>
      <c r="AG20" s="171">
        <f t="shared" si="15"/>
        <v>2398.790104055283</v>
      </c>
      <c r="AH20" s="171">
        <f t="shared" si="16"/>
        <v>539.4485444306262</v>
      </c>
      <c r="AI20" s="180">
        <f t="shared" si="17"/>
        <v>210.29723726324445</v>
      </c>
      <c r="AJ20" s="180">
        <f t="shared" si="18"/>
        <v>0</v>
      </c>
      <c r="AK20" s="180">
        <f t="shared" si="19"/>
        <v>572.5888963463403</v>
      </c>
      <c r="AL20" s="171">
        <f t="shared" si="20"/>
        <v>2391.5820440303014</v>
      </c>
      <c r="AM20" s="171">
        <f t="shared" si="26"/>
        <v>1519.3714000503924</v>
      </c>
      <c r="AN20" s="171">
        <f t="shared" si="27"/>
        <v>1712.0794341352948</v>
      </c>
      <c r="AO20" s="171">
        <f t="shared" si="21"/>
        <v>822.2906544384869</v>
      </c>
      <c r="AP20" s="171">
        <f t="shared" si="2"/>
        <v>14281.873520249886</v>
      </c>
      <c r="AQ20" s="171">
        <f t="shared" si="3"/>
        <v>409196.72154311056</v>
      </c>
      <c r="AS20" s="143"/>
    </row>
    <row r="21" spans="1:45" s="24" customFormat="1" ht="12" customHeight="1">
      <c r="A21" s="8">
        <v>16</v>
      </c>
      <c r="B21" s="9" t="s">
        <v>19</v>
      </c>
      <c r="C21" s="310">
        <v>2035.1</v>
      </c>
      <c r="D21" s="171">
        <v>4267.08</v>
      </c>
      <c r="E21" s="171"/>
      <c r="F21" s="171">
        <f>3274.76</f>
        <v>3274.76</v>
      </c>
      <c r="G21" s="171"/>
      <c r="H21" s="171">
        <f>29786.54</f>
        <v>29786.54</v>
      </c>
      <c r="I21" s="171">
        <f>46300</f>
        <v>46300</v>
      </c>
      <c r="J21" s="171">
        <f>7396.95+3671.69</f>
        <v>11068.64</v>
      </c>
      <c r="K21" s="171"/>
      <c r="L21" s="182">
        <f>15933.52</f>
        <v>15933.52</v>
      </c>
      <c r="M21" s="171"/>
      <c r="N21" s="171">
        <f>6814.78</f>
        <v>6814.78</v>
      </c>
      <c r="O21" s="171"/>
      <c r="P21" s="171">
        <f t="shared" si="0"/>
        <v>117445.32</v>
      </c>
      <c r="Q21" s="171">
        <f t="shared" si="4"/>
        <v>6896.035342146033</v>
      </c>
      <c r="R21" s="171">
        <f t="shared" si="5"/>
        <v>6896.03534523374</v>
      </c>
      <c r="S21" s="171">
        <f t="shared" si="6"/>
        <v>6405.540001165363</v>
      </c>
      <c r="T21" s="171">
        <f t="shared" si="7"/>
        <v>6896.035332298547</v>
      </c>
      <c r="U21" s="171">
        <f t="shared" si="8"/>
        <v>6152.718991992896</v>
      </c>
      <c r="V21" s="171">
        <f t="shared" si="9"/>
        <v>6895.788330556078</v>
      </c>
      <c r="W21" s="171">
        <f t="shared" si="10"/>
        <v>6896.035367940894</v>
      </c>
      <c r="X21" s="171">
        <f t="shared" si="22"/>
        <v>6896.035406049273</v>
      </c>
      <c r="Y21" s="171">
        <f t="shared" si="11"/>
        <v>6470.871869854591</v>
      </c>
      <c r="Z21" s="171">
        <f t="shared" si="23"/>
        <v>6894.355152219922</v>
      </c>
      <c r="AA21" s="171">
        <f t="shared" si="24"/>
        <v>6896.035372933532</v>
      </c>
      <c r="AB21" s="171">
        <f t="shared" si="25"/>
        <v>6896.0353352545235</v>
      </c>
      <c r="AC21" s="171">
        <f t="shared" si="1"/>
        <v>81091.52184764539</v>
      </c>
      <c r="AD21" s="171">
        <f t="shared" si="12"/>
        <v>469.336645703889</v>
      </c>
      <c r="AE21" s="171">
        <f t="shared" si="13"/>
        <v>937.7394314236724</v>
      </c>
      <c r="AF21" s="171">
        <f t="shared" si="14"/>
        <v>402.8334059620919</v>
      </c>
      <c r="AG21" s="171">
        <f t="shared" si="15"/>
        <v>1054.956107930015</v>
      </c>
      <c r="AH21" s="171">
        <f t="shared" si="16"/>
        <v>237.24232307735485</v>
      </c>
      <c r="AI21" s="180">
        <f t="shared" si="17"/>
        <v>92.48593887252187</v>
      </c>
      <c r="AJ21" s="180">
        <f t="shared" si="18"/>
        <v>0</v>
      </c>
      <c r="AK21" s="180">
        <f t="shared" si="19"/>
        <v>251.81701079735515</v>
      </c>
      <c r="AL21" s="171">
        <f t="shared" si="20"/>
        <v>1051.786098625397</v>
      </c>
      <c r="AM21" s="171">
        <f t="shared" si="26"/>
        <v>668.1994126904233</v>
      </c>
      <c r="AN21" s="171">
        <f t="shared" si="27"/>
        <v>752.9498530317297</v>
      </c>
      <c r="AO21" s="171">
        <f t="shared" si="21"/>
        <v>361.6325358884584</v>
      </c>
      <c r="AP21" s="171">
        <f t="shared" si="2"/>
        <v>6280.978764002909</v>
      </c>
      <c r="AQ21" s="171">
        <f t="shared" si="3"/>
        <v>204817.82061164832</v>
      </c>
      <c r="AS21" s="143"/>
    </row>
    <row r="22" spans="1:45" s="24" customFormat="1" ht="12" customHeight="1">
      <c r="A22" s="6">
        <v>17</v>
      </c>
      <c r="B22" s="9" t="s">
        <v>20</v>
      </c>
      <c r="C22" s="310">
        <v>7015</v>
      </c>
      <c r="D22" s="171"/>
      <c r="E22" s="171"/>
      <c r="F22" s="171"/>
      <c r="G22" s="171">
        <v>3470.67</v>
      </c>
      <c r="H22" s="171"/>
      <c r="I22" s="171">
        <f>42180.39</f>
        <v>42180.39</v>
      </c>
      <c r="J22" s="171">
        <v>7396.65</v>
      </c>
      <c r="K22" s="171">
        <f>1500</f>
        <v>1500</v>
      </c>
      <c r="L22" s="182">
        <f>54908.05</f>
        <v>54908.05</v>
      </c>
      <c r="M22" s="171">
        <f>5342.02</f>
        <v>5342.02</v>
      </c>
      <c r="N22" s="171"/>
      <c r="O22" s="171"/>
      <c r="P22" s="171">
        <f t="shared" si="0"/>
        <v>114797.78000000001</v>
      </c>
      <c r="Q22" s="171">
        <f t="shared" si="4"/>
        <v>23770.66872642839</v>
      </c>
      <c r="R22" s="171">
        <f t="shared" si="5"/>
        <v>23770.668737071734</v>
      </c>
      <c r="S22" s="171">
        <f t="shared" si="6"/>
        <v>22079.928803584604</v>
      </c>
      <c r="T22" s="171">
        <f t="shared" si="7"/>
        <v>23770.668692484058</v>
      </c>
      <c r="U22" s="171">
        <f t="shared" si="8"/>
        <v>21208.453505395395</v>
      </c>
      <c r="V22" s="171">
        <f t="shared" si="9"/>
        <v>23769.817276227648</v>
      </c>
      <c r="W22" s="171">
        <f t="shared" si="10"/>
        <v>23770.668815343404</v>
      </c>
      <c r="X22" s="171">
        <f t="shared" si="22"/>
        <v>23770.668946703183</v>
      </c>
      <c r="Y22" s="171">
        <f t="shared" si="11"/>
        <v>22305.128085612476</v>
      </c>
      <c r="Z22" s="171">
        <f t="shared" si="23"/>
        <v>23764.877103249353</v>
      </c>
      <c r="AA22" s="171">
        <f t="shared" si="24"/>
        <v>23770.66883255306</v>
      </c>
      <c r="AB22" s="171">
        <f t="shared" si="25"/>
        <v>23770.668702673327</v>
      </c>
      <c r="AC22" s="171">
        <f t="shared" si="1"/>
        <v>279522.8862273266</v>
      </c>
      <c r="AD22" s="171">
        <f t="shared" si="12"/>
        <v>1617.8057931368394</v>
      </c>
      <c r="AE22" s="171">
        <f t="shared" si="13"/>
        <v>3232.392566182036</v>
      </c>
      <c r="AF22" s="171">
        <f t="shared" si="14"/>
        <v>1388.56878916224</v>
      </c>
      <c r="AG22" s="171">
        <f t="shared" si="15"/>
        <v>3636.4390433536705</v>
      </c>
      <c r="AH22" s="171">
        <f t="shared" si="16"/>
        <v>817.7754883728782</v>
      </c>
      <c r="AI22" s="180">
        <f t="shared" si="17"/>
        <v>318.7994993812299</v>
      </c>
      <c r="AJ22" s="180">
        <f t="shared" si="18"/>
        <v>0</v>
      </c>
      <c r="AK22" s="180">
        <f t="shared" si="19"/>
        <v>868.0145107087841</v>
      </c>
      <c r="AL22" s="171">
        <f t="shared" si="20"/>
        <v>3625.512005236676</v>
      </c>
      <c r="AM22" s="171">
        <f t="shared" si="26"/>
        <v>2303.286757418957</v>
      </c>
      <c r="AN22" s="171">
        <f t="shared" si="27"/>
        <v>2595.421954212365</v>
      </c>
      <c r="AO22" s="171">
        <f t="shared" si="21"/>
        <v>1246.549181493556</v>
      </c>
      <c r="AP22" s="171">
        <f t="shared" si="2"/>
        <v>21650.565588659232</v>
      </c>
      <c r="AQ22" s="171">
        <f t="shared" si="3"/>
        <v>415971.23181598587</v>
      </c>
      <c r="AS22" s="143"/>
    </row>
    <row r="23" spans="1:45" s="24" customFormat="1" ht="12" customHeight="1">
      <c r="A23" s="8">
        <v>18</v>
      </c>
      <c r="B23" s="9" t="s">
        <v>21</v>
      </c>
      <c r="C23" s="310">
        <v>2545.2</v>
      </c>
      <c r="D23" s="171"/>
      <c r="E23" s="171"/>
      <c r="F23" s="171"/>
      <c r="G23" s="171"/>
      <c r="H23" s="171">
        <f>7429.71+84171.41</f>
        <v>91601.12000000001</v>
      </c>
      <c r="I23" s="171">
        <f>42180.39</f>
        <v>42180.39</v>
      </c>
      <c r="J23" s="171">
        <f>7396.65+11930.2</f>
        <v>19326.85</v>
      </c>
      <c r="K23" s="171"/>
      <c r="L23" s="182">
        <f>19902.03</f>
        <v>19902.03</v>
      </c>
      <c r="M23" s="171"/>
      <c r="N23" s="171"/>
      <c r="O23" s="171"/>
      <c r="P23" s="171">
        <f t="shared" si="0"/>
        <v>173010.39</v>
      </c>
      <c r="Q23" s="171">
        <f t="shared" si="4"/>
        <v>8624.534004633719</v>
      </c>
      <c r="R23" s="171">
        <f t="shared" si="5"/>
        <v>8624.534008495364</v>
      </c>
      <c r="S23" s="171">
        <f t="shared" si="6"/>
        <v>8011.095479812335</v>
      </c>
      <c r="T23" s="171">
        <f t="shared" si="7"/>
        <v>8624.53399231795</v>
      </c>
      <c r="U23" s="171">
        <f t="shared" si="8"/>
        <v>7694.904613247663</v>
      </c>
      <c r="V23" s="171">
        <f t="shared" si="9"/>
        <v>8624.225079323536</v>
      </c>
      <c r="W23" s="171">
        <f t="shared" si="10"/>
        <v>8624.534036894089</v>
      </c>
      <c r="X23" s="171">
        <f t="shared" si="22"/>
        <v>8624.534084554376</v>
      </c>
      <c r="Y23" s="171">
        <f t="shared" si="11"/>
        <v>8092.802851532556</v>
      </c>
      <c r="Z23" s="171">
        <f t="shared" si="23"/>
        <v>8622.432673298681</v>
      </c>
      <c r="AA23" s="171">
        <f t="shared" si="24"/>
        <v>8624.53404313814</v>
      </c>
      <c r="AB23" s="171">
        <f t="shared" si="25"/>
        <v>8624.533996014845</v>
      </c>
      <c r="AC23" s="171">
        <f t="shared" si="1"/>
        <v>101417.19886326326</v>
      </c>
      <c r="AD23" s="171">
        <f t="shared" si="12"/>
        <v>586.9763798562913</v>
      </c>
      <c r="AE23" s="171">
        <f t="shared" si="13"/>
        <v>1172.784826720815</v>
      </c>
      <c r="AF23" s="171">
        <f t="shared" si="14"/>
        <v>503.80403167152286</v>
      </c>
      <c r="AG23" s="171">
        <f t="shared" si="15"/>
        <v>1319.3819890440145</v>
      </c>
      <c r="AH23" s="171">
        <f t="shared" si="16"/>
        <v>296.7073660736492</v>
      </c>
      <c r="AI23" s="180">
        <f t="shared" si="17"/>
        <v>115.6676387491242</v>
      </c>
      <c r="AJ23" s="180">
        <f t="shared" si="18"/>
        <v>0</v>
      </c>
      <c r="AK23" s="180">
        <f t="shared" si="19"/>
        <v>314.93521491888765</v>
      </c>
      <c r="AL23" s="171">
        <f t="shared" si="20"/>
        <v>1315.4174135036903</v>
      </c>
      <c r="AM23" s="171">
        <f t="shared" si="26"/>
        <v>835.6843128984647</v>
      </c>
      <c r="AN23" s="171">
        <f t="shared" si="27"/>
        <v>941.6775421042496</v>
      </c>
      <c r="AO23" s="171">
        <f t="shared" si="21"/>
        <v>452.2761192783177</v>
      </c>
      <c r="AP23" s="171">
        <f t="shared" si="2"/>
        <v>7855.312834819027</v>
      </c>
      <c r="AQ23" s="171">
        <f t="shared" si="3"/>
        <v>282282.9016980823</v>
      </c>
      <c r="AS23" s="143"/>
    </row>
    <row r="24" spans="1:45" s="24" customFormat="1" ht="12" customHeight="1">
      <c r="A24" s="6">
        <v>19</v>
      </c>
      <c r="B24" s="9" t="s">
        <v>22</v>
      </c>
      <c r="C24" s="310">
        <v>1252.6</v>
      </c>
      <c r="D24" s="171"/>
      <c r="E24" s="171"/>
      <c r="F24" s="171"/>
      <c r="G24" s="171"/>
      <c r="H24" s="171">
        <f>11246.42</f>
        <v>11246.42</v>
      </c>
      <c r="I24" s="171">
        <f>29786.54</f>
        <v>29786.54</v>
      </c>
      <c r="J24" s="171">
        <f>7396.65+14607.79</f>
        <v>22004.440000000002</v>
      </c>
      <c r="K24" s="171">
        <f>24867</f>
        <v>24867</v>
      </c>
      <c r="L24" s="182">
        <f>9794.11</f>
        <v>9794.11</v>
      </c>
      <c r="M24" s="171">
        <f>40012+4000</f>
        <v>44012</v>
      </c>
      <c r="N24" s="171"/>
      <c r="O24" s="171"/>
      <c r="P24" s="171">
        <f t="shared" si="0"/>
        <v>141710.51</v>
      </c>
      <c r="Q24" s="171">
        <f t="shared" si="4"/>
        <v>4244.496029468881</v>
      </c>
      <c r="R24" s="171">
        <f t="shared" si="5"/>
        <v>4244.496031369359</v>
      </c>
      <c r="S24" s="171">
        <f t="shared" si="6"/>
        <v>3942.597123217401</v>
      </c>
      <c r="T24" s="171">
        <f t="shared" si="7"/>
        <v>4244.496023407773</v>
      </c>
      <c r="U24" s="171">
        <f t="shared" si="8"/>
        <v>3786.986295204315</v>
      </c>
      <c r="V24" s="171">
        <f t="shared" si="9"/>
        <v>4244.343994326836</v>
      </c>
      <c r="W24" s="171">
        <f t="shared" si="10"/>
        <v>4244.496045345567</v>
      </c>
      <c r="X24" s="171">
        <f t="shared" si="22"/>
        <v>4244.496068801198</v>
      </c>
      <c r="Y24" s="171">
        <f t="shared" si="11"/>
        <v>3982.808758380355</v>
      </c>
      <c r="Z24" s="171">
        <f t="shared" si="23"/>
        <v>4243.461875913063</v>
      </c>
      <c r="AA24" s="171">
        <f t="shared" si="24"/>
        <v>4244.496048418526</v>
      </c>
      <c r="AB24" s="171">
        <f t="shared" si="25"/>
        <v>4244.496025227171</v>
      </c>
      <c r="AC24" s="171">
        <f t="shared" si="1"/>
        <v>49911.67031908045</v>
      </c>
      <c r="AD24" s="171">
        <f t="shared" si="12"/>
        <v>288.87577141599496</v>
      </c>
      <c r="AE24" s="171">
        <f t="shared" si="13"/>
        <v>577.1767538702236</v>
      </c>
      <c r="AF24" s="171">
        <f t="shared" si="14"/>
        <v>247.94315970130032</v>
      </c>
      <c r="AG24" s="171">
        <f t="shared" si="15"/>
        <v>649.3233849899939</v>
      </c>
      <c r="AH24" s="171">
        <f t="shared" si="16"/>
        <v>146.0221777242861</v>
      </c>
      <c r="AI24" s="180">
        <f t="shared" si="17"/>
        <v>56.924911322156596</v>
      </c>
      <c r="AJ24" s="180">
        <f t="shared" si="18"/>
        <v>0</v>
      </c>
      <c r="AK24" s="180">
        <f t="shared" si="19"/>
        <v>154.9928690112363</v>
      </c>
      <c r="AL24" s="171">
        <f t="shared" si="20"/>
        <v>647.3722505715554</v>
      </c>
      <c r="AM24" s="171">
        <f t="shared" si="26"/>
        <v>411.27540874454536</v>
      </c>
      <c r="AN24" s="171">
        <f t="shared" si="27"/>
        <v>463.4391361149548</v>
      </c>
      <c r="AO24" s="171">
        <f t="shared" si="21"/>
        <v>222.5841061637674</v>
      </c>
      <c r="AP24" s="171">
        <f t="shared" si="2"/>
        <v>3865.929929630015</v>
      </c>
      <c r="AQ24" s="171">
        <f t="shared" si="3"/>
        <v>195488.11024871047</v>
      </c>
      <c r="AS24" s="143"/>
    </row>
    <row r="25" spans="1:45" s="24" customFormat="1" ht="12" customHeight="1">
      <c r="A25" s="8">
        <v>20</v>
      </c>
      <c r="B25" s="9" t="s">
        <v>23</v>
      </c>
      <c r="C25" s="310">
        <v>4044.8</v>
      </c>
      <c r="D25" s="171"/>
      <c r="E25" s="171"/>
      <c r="F25" s="171"/>
      <c r="G25" s="171"/>
      <c r="H25" s="171">
        <f>8996.82</f>
        <v>8996.82</v>
      </c>
      <c r="I25" s="171">
        <f>42180.39</f>
        <v>42180.39</v>
      </c>
      <c r="J25" s="171">
        <f>7396.65+4670.35+3811.42+288018.7</f>
        <v>303897.12</v>
      </c>
      <c r="K25" s="171">
        <f>3000+1246.14</f>
        <v>4246.14</v>
      </c>
      <c r="L25" s="182">
        <f>8077.8+7108.24+31649.49</f>
        <v>46835.53</v>
      </c>
      <c r="M25" s="171">
        <f>6056.12</f>
        <v>6056.12</v>
      </c>
      <c r="N25" s="171">
        <f>8388.1</f>
        <v>8388.1</v>
      </c>
      <c r="O25" s="171"/>
      <c r="P25" s="171">
        <f t="shared" si="0"/>
        <v>420600.22</v>
      </c>
      <c r="Q25" s="171">
        <f t="shared" si="4"/>
        <v>13706.001548775133</v>
      </c>
      <c r="R25" s="171">
        <f t="shared" si="5"/>
        <v>13706.00155491201</v>
      </c>
      <c r="S25" s="171">
        <f t="shared" si="6"/>
        <v>12731.132719135996</v>
      </c>
      <c r="T25" s="171">
        <f t="shared" si="7"/>
        <v>13706.00152920307</v>
      </c>
      <c r="U25" s="171">
        <f t="shared" si="8"/>
        <v>12228.646149483007</v>
      </c>
      <c r="V25" s="171">
        <f t="shared" si="9"/>
        <v>13705.510608536793</v>
      </c>
      <c r="W25" s="171">
        <f t="shared" si="10"/>
        <v>13706.001600042911</v>
      </c>
      <c r="X25" s="171">
        <f t="shared" si="22"/>
        <v>13706.001675784042</v>
      </c>
      <c r="Y25" s="171">
        <f t="shared" si="11"/>
        <v>12860.98105212906</v>
      </c>
      <c r="Z25" s="171">
        <f t="shared" si="23"/>
        <v>13702.662139304774</v>
      </c>
      <c r="AA25" s="171">
        <f t="shared" si="24"/>
        <v>13706.001609965877</v>
      </c>
      <c r="AB25" s="171">
        <f t="shared" si="25"/>
        <v>13706.001535078127</v>
      </c>
      <c r="AC25" s="171">
        <f t="shared" si="1"/>
        <v>161170.9437223508</v>
      </c>
      <c r="AD25" s="171">
        <f t="shared" si="12"/>
        <v>932.8155198973468</v>
      </c>
      <c r="AE25" s="171">
        <f t="shared" si="13"/>
        <v>1863.7749752948114</v>
      </c>
      <c r="AF25" s="171">
        <f t="shared" si="14"/>
        <v>800.6390646334182</v>
      </c>
      <c r="AG25" s="171">
        <f t="shared" si="15"/>
        <v>2096.745351754373</v>
      </c>
      <c r="AH25" s="171">
        <f t="shared" si="16"/>
        <v>471.52363440778583</v>
      </c>
      <c r="AI25" s="180">
        <f t="shared" si="17"/>
        <v>183.81756451848878</v>
      </c>
      <c r="AJ25" s="180">
        <f t="shared" si="18"/>
        <v>0</v>
      </c>
      <c r="AK25" s="180">
        <f t="shared" si="19"/>
        <v>500.4911037654868</v>
      </c>
      <c r="AL25" s="171">
        <f t="shared" si="20"/>
        <v>2090.444897901826</v>
      </c>
      <c r="AM25" s="171">
        <f t="shared" si="26"/>
        <v>1328.0590557958942</v>
      </c>
      <c r="AN25" s="171">
        <f t="shared" si="27"/>
        <v>1496.5021696932536</v>
      </c>
      <c r="AO25" s="171">
        <f t="shared" si="21"/>
        <v>718.7515508631697</v>
      </c>
      <c r="AP25" s="171">
        <f t="shared" si="2"/>
        <v>12483.564888525856</v>
      </c>
      <c r="AQ25" s="171">
        <f t="shared" si="3"/>
        <v>594254.7286108766</v>
      </c>
      <c r="AS25" s="143"/>
    </row>
    <row r="26" spans="1:45" s="24" customFormat="1" ht="12" customHeight="1">
      <c r="A26" s="6">
        <v>21</v>
      </c>
      <c r="B26" s="9" t="s">
        <v>24</v>
      </c>
      <c r="C26" s="310">
        <v>3102.75</v>
      </c>
      <c r="D26" s="171"/>
      <c r="E26" s="171">
        <v>5093.19</v>
      </c>
      <c r="F26" s="171"/>
      <c r="G26" s="171"/>
      <c r="H26" s="171">
        <f>5778.72</f>
        <v>5778.72</v>
      </c>
      <c r="I26" s="171">
        <v>42180.39</v>
      </c>
      <c r="J26" s="171">
        <f>7396.65</f>
        <v>7396.65</v>
      </c>
      <c r="K26" s="171">
        <f>3000+5541.83</f>
        <v>8541.83</v>
      </c>
      <c r="L26" s="182">
        <f>24251.28</f>
        <v>24251.28</v>
      </c>
      <c r="M26" s="171"/>
      <c r="N26" s="171"/>
      <c r="O26" s="171"/>
      <c r="P26" s="171">
        <f t="shared" si="0"/>
        <v>93242.06</v>
      </c>
      <c r="Q26" s="171">
        <f t="shared" si="4"/>
        <v>10513.819300203235</v>
      </c>
      <c r="R26" s="171">
        <f t="shared" si="5"/>
        <v>10513.819304910809</v>
      </c>
      <c r="S26" s="171">
        <f t="shared" si="6"/>
        <v>9766.001296553402</v>
      </c>
      <c r="T26" s="171">
        <f t="shared" si="7"/>
        <v>10513.819285189582</v>
      </c>
      <c r="U26" s="171">
        <f t="shared" si="8"/>
        <v>9380.545846595234</v>
      </c>
      <c r="V26" s="171">
        <f t="shared" si="9"/>
        <v>10513.442701898124</v>
      </c>
      <c r="W26" s="171">
        <f t="shared" si="10"/>
        <v>10513.819339530542</v>
      </c>
      <c r="X26" s="171">
        <f t="shared" si="22"/>
        <v>10513.819397631261</v>
      </c>
      <c r="Y26" s="171">
        <f t="shared" si="11"/>
        <v>9865.607436583623</v>
      </c>
      <c r="Z26" s="171">
        <f t="shared" si="23"/>
        <v>10511.25765247426</v>
      </c>
      <c r="AA26" s="171">
        <f t="shared" si="24"/>
        <v>10513.81934714241</v>
      </c>
      <c r="AB26" s="171">
        <f t="shared" si="25"/>
        <v>10513.819289696316</v>
      </c>
      <c r="AC26" s="171">
        <f t="shared" si="1"/>
        <v>123633.59019840878</v>
      </c>
      <c r="AD26" s="171">
        <f t="shared" si="12"/>
        <v>715.559076928771</v>
      </c>
      <c r="AE26" s="171">
        <f t="shared" si="13"/>
        <v>1429.6943741584196</v>
      </c>
      <c r="AF26" s="171">
        <f t="shared" si="14"/>
        <v>614.167043559963</v>
      </c>
      <c r="AG26" s="171">
        <f t="shared" si="15"/>
        <v>1608.4050237727158</v>
      </c>
      <c r="AH26" s="171">
        <f t="shared" si="16"/>
        <v>361.7039054239412</v>
      </c>
      <c r="AI26" s="180">
        <f t="shared" si="17"/>
        <v>141.0057229800586</v>
      </c>
      <c r="AJ26" s="180">
        <f t="shared" si="18"/>
        <v>0</v>
      </c>
      <c r="AK26" s="180">
        <f t="shared" si="19"/>
        <v>383.92473600879254</v>
      </c>
      <c r="AL26" s="171">
        <f t="shared" si="20"/>
        <v>1603.5719706697216</v>
      </c>
      <c r="AM26" s="171">
        <f t="shared" si="26"/>
        <v>1018.7488220358758</v>
      </c>
      <c r="AN26" s="171">
        <f t="shared" si="27"/>
        <v>1147.9608650652053</v>
      </c>
      <c r="AO26" s="171">
        <f t="shared" si="21"/>
        <v>551.3514572885433</v>
      </c>
      <c r="AP26" s="171">
        <f t="shared" si="2"/>
        <v>9576.092997892008</v>
      </c>
      <c r="AQ26" s="171">
        <f t="shared" si="3"/>
        <v>226451.74319630078</v>
      </c>
      <c r="AS26" s="143"/>
    </row>
    <row r="27" spans="1:45" s="24" customFormat="1" ht="12" customHeight="1">
      <c r="A27" s="8">
        <v>22</v>
      </c>
      <c r="B27" s="9" t="s">
        <v>25</v>
      </c>
      <c r="C27" s="310">
        <v>2465.1</v>
      </c>
      <c r="D27" s="171"/>
      <c r="E27" s="171">
        <v>2597.74</v>
      </c>
      <c r="F27" s="171"/>
      <c r="G27" s="171">
        <v>7570.28</v>
      </c>
      <c r="H27" s="171">
        <v>8915.66</v>
      </c>
      <c r="I27" s="171">
        <f>318249+42180.39+15333.02+3871.65</f>
        <v>379634.06000000006</v>
      </c>
      <c r="J27" s="171">
        <f>7396.65+7126.48</f>
        <v>14523.13</v>
      </c>
      <c r="K27" s="171"/>
      <c r="L27" s="182">
        <f>10414.53+19256.4</f>
        <v>29670.93</v>
      </c>
      <c r="M27" s="171">
        <f>9171.06</f>
        <v>9171.06</v>
      </c>
      <c r="N27" s="171">
        <f>14819.97</f>
        <v>14819.97</v>
      </c>
      <c r="O27" s="171"/>
      <c r="P27" s="171">
        <f t="shared" si="0"/>
        <v>466902.83</v>
      </c>
      <c r="Q27" s="171">
        <f t="shared" si="4"/>
        <v>8353.111258377567</v>
      </c>
      <c r="R27" s="171">
        <f t="shared" si="5"/>
        <v>8353.111262117682</v>
      </c>
      <c r="S27" s="171">
        <f t="shared" si="6"/>
        <v>7758.978259973828</v>
      </c>
      <c r="T27" s="171">
        <f t="shared" si="7"/>
        <v>8353.111246449387</v>
      </c>
      <c r="U27" s="171">
        <f t="shared" si="8"/>
        <v>7452.738237512501</v>
      </c>
      <c r="V27" s="171">
        <f t="shared" si="9"/>
        <v>8352.81205525713</v>
      </c>
      <c r="W27" s="171">
        <f t="shared" si="10"/>
        <v>8353.111289622671</v>
      </c>
      <c r="X27" s="171">
        <f t="shared" si="22"/>
        <v>8353.111335783038</v>
      </c>
      <c r="Y27" s="171">
        <f t="shared" si="11"/>
        <v>7838.114218651935</v>
      </c>
      <c r="Z27" s="171">
        <f t="shared" si="23"/>
        <v>8351.07605804989</v>
      </c>
      <c r="AA27" s="171">
        <f t="shared" si="24"/>
        <v>8353.111295670213</v>
      </c>
      <c r="AB27" s="171">
        <f t="shared" si="25"/>
        <v>8353.111250029937</v>
      </c>
      <c r="AC27" s="171">
        <f t="shared" si="1"/>
        <v>98225.49776749578</v>
      </c>
      <c r="AD27" s="171">
        <f t="shared" si="12"/>
        <v>568.5036437151279</v>
      </c>
      <c r="AE27" s="171">
        <f t="shared" si="13"/>
        <v>1135.8761104626283</v>
      </c>
      <c r="AF27" s="171">
        <f t="shared" si="14"/>
        <v>487.9488128530061</v>
      </c>
      <c r="AG27" s="171">
        <f t="shared" si="15"/>
        <v>1277.8597128683011</v>
      </c>
      <c r="AH27" s="171">
        <f t="shared" si="16"/>
        <v>287.36968729693257</v>
      </c>
      <c r="AI27" s="180">
        <f t="shared" si="17"/>
        <v>112.02746199924017</v>
      </c>
      <c r="AJ27" s="180">
        <f t="shared" si="18"/>
        <v>0</v>
      </c>
      <c r="AK27" s="180">
        <f t="shared" si="19"/>
        <v>305.0238874338166</v>
      </c>
      <c r="AL27" s="171">
        <f t="shared" si="20"/>
        <v>1274.0199065016295</v>
      </c>
      <c r="AM27" s="171">
        <f t="shared" si="26"/>
        <v>809.3844883411933</v>
      </c>
      <c r="AN27" s="171">
        <f t="shared" si="27"/>
        <v>912.042004180884</v>
      </c>
      <c r="AO27" s="171">
        <f t="shared" si="21"/>
        <v>438.0425356093749</v>
      </c>
      <c r="AP27" s="171">
        <f t="shared" si="2"/>
        <v>7608.098251262134</v>
      </c>
      <c r="AQ27" s="171">
        <f t="shared" si="3"/>
        <v>572736.4260187579</v>
      </c>
      <c r="AS27" s="143"/>
    </row>
    <row r="28" spans="1:45" s="24" customFormat="1" ht="12" customHeight="1">
      <c r="A28" s="6">
        <v>23</v>
      </c>
      <c r="B28" s="9" t="s">
        <v>26</v>
      </c>
      <c r="C28" s="310">
        <v>3488.5</v>
      </c>
      <c r="D28" s="171"/>
      <c r="E28" s="171"/>
      <c r="F28" s="171"/>
      <c r="G28" s="171"/>
      <c r="H28" s="171">
        <f>16539.03</f>
        <v>16539.03</v>
      </c>
      <c r="I28" s="171">
        <f>42180.39+15300.05</f>
        <v>57480.44</v>
      </c>
      <c r="J28" s="171">
        <f>7396.65+10800.68</f>
        <v>18197.33</v>
      </c>
      <c r="K28" s="171">
        <f>4500+8006.63</f>
        <v>12506.630000000001</v>
      </c>
      <c r="L28" s="182">
        <f>9424.3+27368.72</f>
        <v>36793.020000000004</v>
      </c>
      <c r="M28" s="182"/>
      <c r="N28" s="171">
        <f>35500</f>
        <v>35500</v>
      </c>
      <c r="O28" s="171"/>
      <c r="P28" s="171">
        <f t="shared" si="0"/>
        <v>177016.45</v>
      </c>
      <c r="Q28" s="171">
        <f t="shared" si="4"/>
        <v>11820.951939008617</v>
      </c>
      <c r="R28" s="171">
        <f t="shared" si="5"/>
        <v>11820.951944301461</v>
      </c>
      <c r="S28" s="171">
        <f t="shared" si="6"/>
        <v>10980.161315937972</v>
      </c>
      <c r="T28" s="171">
        <f t="shared" si="7"/>
        <v>11820.951922128388</v>
      </c>
      <c r="U28" s="171">
        <f t="shared" si="8"/>
        <v>10546.784041849156</v>
      </c>
      <c r="V28" s="171">
        <f t="shared" si="9"/>
        <v>11820.528520045638</v>
      </c>
      <c r="W28" s="171">
        <f t="shared" si="10"/>
        <v>11820.9519832253</v>
      </c>
      <c r="X28" s="171">
        <f t="shared" si="22"/>
        <v>11820.952048549401</v>
      </c>
      <c r="Y28" s="171">
        <f t="shared" si="11"/>
        <v>11092.151008789613</v>
      </c>
      <c r="Z28" s="171">
        <f t="shared" si="23"/>
        <v>11818.071813925211</v>
      </c>
      <c r="AA28" s="171">
        <f t="shared" si="24"/>
        <v>11820.951991783513</v>
      </c>
      <c r="AB28" s="171">
        <f t="shared" si="25"/>
        <v>11820.951927195423</v>
      </c>
      <c r="AC28" s="171">
        <f t="shared" si="1"/>
        <v>139004.3604567397</v>
      </c>
      <c r="AD28" s="171">
        <f t="shared" si="12"/>
        <v>804.5210989818765</v>
      </c>
      <c r="AE28" s="171">
        <f t="shared" si="13"/>
        <v>1607.4414065753433</v>
      </c>
      <c r="AF28" s="171">
        <f t="shared" si="14"/>
        <v>690.523481253382</v>
      </c>
      <c r="AG28" s="171">
        <f t="shared" si="15"/>
        <v>1808.3702926214225</v>
      </c>
      <c r="AH28" s="171">
        <f t="shared" si="16"/>
        <v>406.67281413952753</v>
      </c>
      <c r="AI28" s="180">
        <f t="shared" si="17"/>
        <v>158.53628704082973</v>
      </c>
      <c r="AJ28" s="180">
        <f t="shared" si="18"/>
        <v>0</v>
      </c>
      <c r="AK28" s="180">
        <f t="shared" si="19"/>
        <v>431.6562538285949</v>
      </c>
      <c r="AL28" s="171">
        <f t="shared" si="20"/>
        <v>1802.9363692470629</v>
      </c>
      <c r="AM28" s="171">
        <f t="shared" si="26"/>
        <v>1145.4049683900262</v>
      </c>
      <c r="AN28" s="171">
        <f t="shared" si="27"/>
        <v>1290.681323915871</v>
      </c>
      <c r="AO28" s="171">
        <f t="shared" si="21"/>
        <v>619.8983349451562</v>
      </c>
      <c r="AP28" s="171">
        <f t="shared" si="2"/>
        <v>10766.642630939094</v>
      </c>
      <c r="AQ28" s="171">
        <f t="shared" si="3"/>
        <v>326787.4530876788</v>
      </c>
      <c r="AS28" s="143"/>
    </row>
    <row r="29" spans="1:45" s="24" customFormat="1" ht="12" customHeight="1">
      <c r="A29" s="8">
        <v>24</v>
      </c>
      <c r="B29" s="9" t="s">
        <v>27</v>
      </c>
      <c r="C29" s="310">
        <v>3443.3</v>
      </c>
      <c r="D29" s="171"/>
      <c r="E29" s="171"/>
      <c r="F29" s="171"/>
      <c r="G29" s="171"/>
      <c r="H29" s="171">
        <f>26579.09</f>
        <v>26579.09</v>
      </c>
      <c r="I29" s="171">
        <f>42180.39+6443.03</f>
        <v>48623.42</v>
      </c>
      <c r="J29" s="171">
        <f>7396.65+3897.26</f>
        <v>11293.91</v>
      </c>
      <c r="K29" s="171">
        <f>14400+30510+4500+21351.04+6311.33+2850</f>
        <v>79922.37000000001</v>
      </c>
      <c r="L29" s="182">
        <f>6058.47+26892.91</f>
        <v>32951.38</v>
      </c>
      <c r="M29" s="171"/>
      <c r="N29" s="171">
        <f>6615.42</f>
        <v>6615.42</v>
      </c>
      <c r="O29" s="182"/>
      <c r="P29" s="171">
        <f t="shared" si="0"/>
        <v>205985.59000000003</v>
      </c>
      <c r="Q29" s="171">
        <f t="shared" si="4"/>
        <v>11667.789540372187</v>
      </c>
      <c r="R29" s="171">
        <f t="shared" si="5"/>
        <v>11667.789545596452</v>
      </c>
      <c r="S29" s="171">
        <f t="shared" si="6"/>
        <v>10837.892922221365</v>
      </c>
      <c r="T29" s="171">
        <f t="shared" si="7"/>
        <v>11667.789523710673</v>
      </c>
      <c r="U29" s="171">
        <f t="shared" si="8"/>
        <v>10410.13085604105</v>
      </c>
      <c r="V29" s="171">
        <f t="shared" si="9"/>
        <v>11667.371607588691</v>
      </c>
      <c r="W29" s="171">
        <f t="shared" si="10"/>
        <v>11667.78958401596</v>
      </c>
      <c r="X29" s="171">
        <f t="shared" si="22"/>
        <v>11667.789648493666</v>
      </c>
      <c r="Y29" s="171">
        <f t="shared" si="11"/>
        <v>10948.431580497429</v>
      </c>
      <c r="Z29" s="171">
        <f t="shared" si="23"/>
        <v>11664.946732661225</v>
      </c>
      <c r="AA29" s="171">
        <f t="shared" si="24"/>
        <v>11667.789592463287</v>
      </c>
      <c r="AB29" s="171">
        <f t="shared" si="25"/>
        <v>11667.789528712054</v>
      </c>
      <c r="AC29" s="171">
        <f t="shared" si="1"/>
        <v>137203.30066237404</v>
      </c>
      <c r="AD29" s="171">
        <f t="shared" si="12"/>
        <v>794.0970331444162</v>
      </c>
      <c r="AE29" s="171">
        <f t="shared" si="13"/>
        <v>1586.6140161275275</v>
      </c>
      <c r="AF29" s="171">
        <f t="shared" si="14"/>
        <v>681.5764663894998</v>
      </c>
      <c r="AG29" s="171">
        <f t="shared" si="15"/>
        <v>1784.9394950790725</v>
      </c>
      <c r="AH29" s="171">
        <f t="shared" si="16"/>
        <v>401.4036121331905</v>
      </c>
      <c r="AI29" s="180">
        <f t="shared" si="17"/>
        <v>156.4821548423933</v>
      </c>
      <c r="AJ29" s="180">
        <f t="shared" si="18"/>
        <v>0</v>
      </c>
      <c r="AK29" s="180">
        <f t="shared" si="19"/>
        <v>426.06334493564594</v>
      </c>
      <c r="AL29" s="171">
        <f t="shared" si="20"/>
        <v>1779.5759782796079</v>
      </c>
      <c r="AM29" s="171">
        <f t="shared" si="26"/>
        <v>1130.5641185774336</v>
      </c>
      <c r="AN29" s="171">
        <f t="shared" si="27"/>
        <v>1273.958148957867</v>
      </c>
      <c r="AO29" s="171">
        <f t="shared" si="21"/>
        <v>611.8664000907714</v>
      </c>
      <c r="AP29" s="171">
        <f t="shared" si="2"/>
        <v>10627.140768557425</v>
      </c>
      <c r="AQ29" s="171">
        <f t="shared" si="3"/>
        <v>353816.0314309315</v>
      </c>
      <c r="AS29" s="143"/>
    </row>
    <row r="30" spans="1:45" s="24" customFormat="1" ht="12" customHeight="1">
      <c r="A30" s="6">
        <v>25</v>
      </c>
      <c r="B30" s="9" t="s">
        <v>28</v>
      </c>
      <c r="C30" s="310">
        <v>4038.6</v>
      </c>
      <c r="D30" s="171"/>
      <c r="E30" s="171">
        <v>4026.63</v>
      </c>
      <c r="F30" s="171"/>
      <c r="G30" s="171">
        <f>2640.33</f>
        <v>2640.33</v>
      </c>
      <c r="H30" s="171">
        <f>42180.39+5390.31+29883.72</f>
        <v>77454.42</v>
      </c>
      <c r="I30" s="171"/>
      <c r="J30" s="171">
        <f>7396.65+7332.09</f>
        <v>14728.74</v>
      </c>
      <c r="K30" s="171">
        <f>13344.4</f>
        <v>13344.4</v>
      </c>
      <c r="L30" s="182">
        <f>6731.64+31622.88</f>
        <v>38354.520000000004</v>
      </c>
      <c r="M30" s="171"/>
      <c r="N30" s="171"/>
      <c r="O30" s="171"/>
      <c r="P30" s="171">
        <f t="shared" si="0"/>
        <v>150549.04</v>
      </c>
      <c r="Q30" s="171">
        <f t="shared" si="4"/>
        <v>13684.992547192258</v>
      </c>
      <c r="R30" s="171">
        <f t="shared" si="5"/>
        <v>13684.992553319731</v>
      </c>
      <c r="S30" s="171">
        <f t="shared" si="6"/>
        <v>12711.618027962477</v>
      </c>
      <c r="T30" s="171">
        <f t="shared" si="7"/>
        <v>13684.992527650194</v>
      </c>
      <c r="U30" s="171">
        <f t="shared" si="8"/>
        <v>12209.901685942958</v>
      </c>
      <c r="V30" s="171">
        <f t="shared" si="9"/>
        <v>13684.502359482962</v>
      </c>
      <c r="W30" s="171">
        <f t="shared" si="10"/>
        <v>13684.992598381452</v>
      </c>
      <c r="X30" s="171">
        <f t="shared" si="22"/>
        <v>13684.992674006482</v>
      </c>
      <c r="Y30" s="171">
        <f t="shared" si="11"/>
        <v>12841.267325239423</v>
      </c>
      <c r="Z30" s="171">
        <f t="shared" si="23"/>
        <v>13681.658256476525</v>
      </c>
      <c r="AA30" s="171">
        <f t="shared" si="24"/>
        <v>13684.992608289207</v>
      </c>
      <c r="AB30" s="171">
        <f t="shared" si="25"/>
        <v>13684.992533516248</v>
      </c>
      <c r="AC30" s="171">
        <f t="shared" si="1"/>
        <v>160923.8956974599</v>
      </c>
      <c r="AD30" s="171">
        <f t="shared" si="12"/>
        <v>931.3856701585801</v>
      </c>
      <c r="AE30" s="171">
        <f t="shared" si="13"/>
        <v>1860.9181208528541</v>
      </c>
      <c r="AF30" s="171">
        <f t="shared" si="14"/>
        <v>799.4118192317353</v>
      </c>
      <c r="AG30" s="171">
        <f t="shared" si="15"/>
        <v>2093.531392799449</v>
      </c>
      <c r="AH30" s="171">
        <f t="shared" si="16"/>
        <v>470.8008677608989</v>
      </c>
      <c r="AI30" s="180">
        <f t="shared" si="17"/>
        <v>183.53580302224304</v>
      </c>
      <c r="AJ30" s="180">
        <f t="shared" si="18"/>
        <v>0</v>
      </c>
      <c r="AK30" s="180">
        <f t="shared" si="19"/>
        <v>499.7239348465424</v>
      </c>
      <c r="AL30" s="171">
        <f t="shared" si="20"/>
        <v>2087.240596485936</v>
      </c>
      <c r="AM30" s="171">
        <f t="shared" si="26"/>
        <v>1326.0233640074412</v>
      </c>
      <c r="AN30" s="171">
        <f t="shared" si="27"/>
        <v>1494.2082828627308</v>
      </c>
      <c r="AO30" s="171">
        <f t="shared" si="21"/>
        <v>717.6498252857983</v>
      </c>
      <c r="AP30" s="171">
        <f t="shared" si="2"/>
        <v>12464.42967731421</v>
      </c>
      <c r="AQ30" s="171">
        <f t="shared" si="3"/>
        <v>323937.3653747741</v>
      </c>
      <c r="AS30" s="143"/>
    </row>
    <row r="31" spans="1:45" s="32" customFormat="1" ht="12" customHeight="1">
      <c r="A31" s="14">
        <v>25</v>
      </c>
      <c r="B31" s="11" t="s">
        <v>29</v>
      </c>
      <c r="C31" s="170">
        <f aca="true" t="shared" si="28" ref="C31:AC31">SUM(C6:C30)</f>
        <v>61340.17</v>
      </c>
      <c r="D31" s="172">
        <f t="shared" si="28"/>
        <v>30897.93</v>
      </c>
      <c r="E31" s="172">
        <f t="shared" si="28"/>
        <v>27276.219999999998</v>
      </c>
      <c r="F31" s="172">
        <f t="shared" si="28"/>
        <v>79141.42</v>
      </c>
      <c r="G31" s="172">
        <f t="shared" si="28"/>
        <v>123513.69</v>
      </c>
      <c r="H31" s="172">
        <f t="shared" si="28"/>
        <v>437800.65</v>
      </c>
      <c r="I31" s="172">
        <f t="shared" si="28"/>
        <v>2182533.0999999996</v>
      </c>
      <c r="J31" s="172">
        <f t="shared" si="28"/>
        <v>1022720.9700000001</v>
      </c>
      <c r="K31" s="172">
        <f t="shared" si="28"/>
        <v>294925.64</v>
      </c>
      <c r="L31" s="183">
        <f t="shared" si="28"/>
        <v>956021.2500000002</v>
      </c>
      <c r="M31" s="172">
        <f t="shared" si="28"/>
        <v>85581.2</v>
      </c>
      <c r="N31" s="172">
        <f t="shared" si="28"/>
        <v>299832.82</v>
      </c>
      <c r="O31" s="172">
        <f t="shared" si="28"/>
        <v>3682.24</v>
      </c>
      <c r="P31" s="172">
        <f t="shared" si="28"/>
        <v>5543927.129999999</v>
      </c>
      <c r="Q31" s="172">
        <f t="shared" si="28"/>
        <v>207854.14977801865</v>
      </c>
      <c r="R31" s="172">
        <f aca="true" t="shared" si="29" ref="R31:AB31">SUM(R6:R30)</f>
        <v>207854.1498710856</v>
      </c>
      <c r="S31" s="172">
        <f t="shared" si="29"/>
        <v>193070.07646468657</v>
      </c>
      <c r="T31" s="172">
        <f t="shared" si="29"/>
        <v>207854.1494812045</v>
      </c>
      <c r="U31" s="172">
        <f t="shared" si="29"/>
        <v>185449.77098475402</v>
      </c>
      <c r="V31" s="172">
        <f t="shared" si="29"/>
        <v>207846.70457487396</v>
      </c>
      <c r="W31" s="172">
        <f t="shared" si="29"/>
        <v>207854.15055550437</v>
      </c>
      <c r="X31" s="172">
        <f t="shared" si="29"/>
        <v>207854.15170397123</v>
      </c>
      <c r="Y31" s="172">
        <f t="shared" si="29"/>
        <v>195039.25141029846</v>
      </c>
      <c r="Z31" s="172">
        <f t="shared" si="29"/>
        <v>207804.7970410758</v>
      </c>
      <c r="AA31" s="172">
        <f t="shared" si="29"/>
        <v>207854.150733622</v>
      </c>
      <c r="AB31" s="172">
        <f t="shared" si="29"/>
        <v>207854.1495891986</v>
      </c>
      <c r="AC31" s="172">
        <f t="shared" si="28"/>
        <v>2444189.6521882936</v>
      </c>
      <c r="AD31" s="172">
        <f aca="true" t="shared" si="30" ref="AD31:AQ31">SUM(AD6:AD30)</f>
        <v>14146.326782323391</v>
      </c>
      <c r="AE31" s="172">
        <f t="shared" si="30"/>
        <v>28264.505989499976</v>
      </c>
      <c r="AF31" s="172">
        <f t="shared" si="30"/>
        <v>12141.845414669417</v>
      </c>
      <c r="AG31" s="172">
        <f t="shared" si="30"/>
        <v>31797.54655936586</v>
      </c>
      <c r="AH31" s="172">
        <f t="shared" si="30"/>
        <v>7150.746611350729</v>
      </c>
      <c r="AI31" s="172">
        <f>SUM(AI6:AI30)</f>
        <v>2787.6287224461203</v>
      </c>
      <c r="AJ31" s="172">
        <f>SUM(AJ6:AJ30)</f>
        <v>0</v>
      </c>
      <c r="AK31" s="172">
        <f>SUM(AK6:AK30)</f>
        <v>7590.043855929243</v>
      </c>
      <c r="AL31" s="172">
        <f t="shared" si="30"/>
        <v>31701.998964826602</v>
      </c>
      <c r="AM31" s="172">
        <f t="shared" si="30"/>
        <v>20082.252374525156</v>
      </c>
      <c r="AN31" s="172">
        <f t="shared" si="30"/>
        <v>22592.723089575764</v>
      </c>
      <c r="AO31" s="172">
        <f t="shared" si="30"/>
        <v>10811.769043794766</v>
      </c>
      <c r="AP31" s="172">
        <f t="shared" si="30"/>
        <v>189067.387408307</v>
      </c>
      <c r="AQ31" s="172">
        <f t="shared" si="30"/>
        <v>8177184.169596603</v>
      </c>
      <c r="AS31" s="146"/>
    </row>
    <row r="32" spans="4:16" ht="12.75"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</row>
    <row r="33" spans="4:16" ht="12.75"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</row>
    <row r="34" spans="1:43" ht="12.75">
      <c r="A34" s="24" t="s">
        <v>74</v>
      </c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AQ34" s="145"/>
    </row>
    <row r="35" spans="1:16" ht="12.75">
      <c r="A35" s="24" t="s">
        <v>75</v>
      </c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</row>
    <row r="36" ht="12.75">
      <c r="A36" s="24" t="s">
        <v>76</v>
      </c>
    </row>
    <row r="37" ht="12.75">
      <c r="A37" s="24" t="s">
        <v>77</v>
      </c>
    </row>
    <row r="38" ht="12.75">
      <c r="A38" s="24" t="s">
        <v>78</v>
      </c>
    </row>
    <row r="39" ht="12.75">
      <c r="A39" s="24"/>
    </row>
    <row r="40" ht="12.75">
      <c r="A40" s="24" t="s">
        <v>79</v>
      </c>
    </row>
    <row r="41" ht="12.75">
      <c r="A41" s="24" t="s">
        <v>80</v>
      </c>
    </row>
    <row r="42" ht="12.75">
      <c r="A42" s="24" t="s">
        <v>81</v>
      </c>
    </row>
    <row r="43" ht="12.75">
      <c r="A43" s="24" t="s">
        <v>82</v>
      </c>
    </row>
    <row r="44" ht="12.75">
      <c r="A44" s="24"/>
    </row>
    <row r="45" ht="12.75">
      <c r="A45" s="24" t="s">
        <v>83</v>
      </c>
    </row>
    <row r="66" ht="12.75">
      <c r="E66">
        <f>SUM(E49:E65)</f>
        <v>0</v>
      </c>
    </row>
  </sheetData>
  <sheetProtection/>
  <autoFilter ref="A1:C31"/>
  <mergeCells count="5">
    <mergeCell ref="A2:AQ2"/>
    <mergeCell ref="AD4:AP4"/>
    <mergeCell ref="Q4:AC4"/>
    <mergeCell ref="A3:C3"/>
    <mergeCell ref="D4:P4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AS44"/>
  <sheetViews>
    <sheetView zoomScale="110" zoomScaleNormal="110" zoomScalePageLayoutView="0" workbookViewId="0" topLeftCell="A4">
      <pane xSplit="3" ySplit="3" topLeftCell="M7" activePane="bottomRight" state="frozen"/>
      <selection pane="topLeft" activeCell="A4" sqref="A4"/>
      <selection pane="topRight" activeCell="D4" sqref="D4"/>
      <selection pane="bottomLeft" activeCell="A6" sqref="A6"/>
      <selection pane="bottomRight" activeCell="AH35" sqref="AH35"/>
    </sheetView>
  </sheetViews>
  <sheetFormatPr defaultColWidth="9.140625" defaultRowHeight="12.75"/>
  <cols>
    <col min="1" max="1" width="6.28125" style="16" customWidth="1"/>
    <col min="2" max="2" width="13.7109375" style="15" customWidth="1"/>
    <col min="3" max="3" width="9.140625" style="15" customWidth="1"/>
    <col min="4" max="4" width="10.140625" style="15" customWidth="1"/>
    <col min="5" max="6" width="9.57421875" style="15" customWidth="1"/>
    <col min="7" max="7" width="9.8515625" style="15" customWidth="1"/>
    <col min="8" max="8" width="11.57421875" style="15" customWidth="1"/>
    <col min="9" max="9" width="11.140625" style="15" customWidth="1"/>
    <col min="10" max="10" width="12.00390625" style="15" customWidth="1"/>
    <col min="11" max="11" width="11.57421875" style="15" customWidth="1"/>
    <col min="12" max="12" width="11.421875" style="15" customWidth="1"/>
    <col min="13" max="13" width="11.7109375" style="15" customWidth="1"/>
    <col min="14" max="15" width="9.57421875" style="15" customWidth="1"/>
    <col min="16" max="16" width="12.140625" style="0" customWidth="1"/>
    <col min="17" max="17" width="10.00390625" style="0" customWidth="1"/>
    <col min="18" max="28" width="9.8515625" style="0" customWidth="1"/>
    <col min="29" max="29" width="11.140625" style="0" bestFit="1" customWidth="1"/>
    <col min="30" max="31" width="9.00390625" style="0" customWidth="1"/>
    <col min="32" max="32" width="10.421875" style="0" customWidth="1"/>
    <col min="33" max="33" width="9.00390625" style="0" customWidth="1"/>
    <col min="34" max="34" width="10.28125" style="0" customWidth="1"/>
    <col min="35" max="35" width="10.7109375" style="0" customWidth="1"/>
    <col min="36" max="36" width="9.140625" style="0" customWidth="1"/>
    <col min="37" max="37" width="8.8515625" style="0" customWidth="1"/>
    <col min="38" max="40" width="9.00390625" style="0" customWidth="1"/>
    <col min="41" max="41" width="9.140625" style="0" customWidth="1"/>
    <col min="42" max="42" width="9.8515625" style="0" bestFit="1" customWidth="1"/>
    <col min="43" max="43" width="12.140625" style="70" customWidth="1"/>
    <col min="45" max="45" width="14.7109375" style="0" customWidth="1"/>
  </cols>
  <sheetData>
    <row r="1" spans="1:42" ht="1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</row>
    <row r="2" spans="1:43" ht="12.75">
      <c r="A2" s="604" t="s">
        <v>143</v>
      </c>
      <c r="B2" s="604"/>
      <c r="C2" s="604"/>
      <c r="D2" s="604"/>
      <c r="E2" s="604"/>
      <c r="F2" s="604"/>
      <c r="G2" s="604"/>
      <c r="H2" s="604"/>
      <c r="I2" s="604"/>
      <c r="J2" s="604"/>
      <c r="K2" s="604"/>
      <c r="L2" s="604"/>
      <c r="M2" s="604"/>
      <c r="N2" s="604"/>
      <c r="O2" s="604"/>
      <c r="P2" s="604"/>
      <c r="Q2" s="604"/>
      <c r="R2" s="604"/>
      <c r="S2" s="604"/>
      <c r="T2" s="604"/>
      <c r="U2" s="604"/>
      <c r="V2" s="604"/>
      <c r="W2" s="604"/>
      <c r="X2" s="604"/>
      <c r="Y2" s="604"/>
      <c r="Z2" s="604"/>
      <c r="AA2" s="604"/>
      <c r="AB2" s="604"/>
      <c r="AC2" s="604"/>
      <c r="AD2" s="604"/>
      <c r="AE2" s="604"/>
      <c r="AF2" s="604"/>
      <c r="AG2" s="604"/>
      <c r="AH2" s="604"/>
      <c r="AI2" s="604"/>
      <c r="AJ2" s="604"/>
      <c r="AK2" s="604"/>
      <c r="AL2" s="604"/>
      <c r="AM2" s="604"/>
      <c r="AN2" s="604"/>
      <c r="AO2" s="604"/>
      <c r="AP2" s="604"/>
      <c r="AQ2" s="604"/>
    </row>
    <row r="3" spans="1:29" ht="12.75">
      <c r="A3" s="608"/>
      <c r="B3" s="608"/>
      <c r="C3" s="608"/>
      <c r="D3" s="608"/>
      <c r="E3" s="608"/>
      <c r="F3" s="608"/>
      <c r="G3" s="608"/>
      <c r="H3" s="608"/>
      <c r="I3" s="608"/>
      <c r="J3" s="608"/>
      <c r="K3" s="608"/>
      <c r="L3" s="608"/>
      <c r="M3" s="608"/>
      <c r="N3" s="608"/>
      <c r="O3" s="608"/>
      <c r="P3" s="608"/>
      <c r="Q3" s="608"/>
      <c r="R3" s="608"/>
      <c r="S3" s="608"/>
      <c r="T3" s="608"/>
      <c r="U3" s="608"/>
      <c r="V3" s="608"/>
      <c r="W3" s="608"/>
      <c r="X3" s="608"/>
      <c r="Y3" s="608"/>
      <c r="Z3" s="608"/>
      <c r="AA3" s="608"/>
      <c r="AB3" s="608"/>
      <c r="AC3" s="608"/>
    </row>
    <row r="4" spans="1:43" ht="13.5" thickBot="1">
      <c r="A4" s="604" t="s">
        <v>210</v>
      </c>
      <c r="B4" s="604"/>
      <c r="C4" s="604"/>
      <c r="D4" s="604"/>
      <c r="E4" s="604"/>
      <c r="F4" s="604"/>
      <c r="G4" s="604"/>
      <c r="H4" s="604"/>
      <c r="I4" s="604"/>
      <c r="J4" s="604"/>
      <c r="K4" s="604"/>
      <c r="L4" s="604"/>
      <c r="M4" s="604"/>
      <c r="N4" s="604"/>
      <c r="O4" s="604"/>
      <c r="P4" s="604"/>
      <c r="Q4" s="604"/>
      <c r="R4" s="604"/>
      <c r="S4" s="604"/>
      <c r="T4" s="604"/>
      <c r="U4" s="604"/>
      <c r="V4" s="604"/>
      <c r="W4" s="604"/>
      <c r="X4" s="604"/>
      <c r="Y4" s="604"/>
      <c r="Z4" s="604"/>
      <c r="AA4" s="604"/>
      <c r="AB4" s="604"/>
      <c r="AC4" s="604"/>
      <c r="AD4" s="604"/>
      <c r="AE4" s="604"/>
      <c r="AF4" s="604"/>
      <c r="AG4" s="604"/>
      <c r="AH4" s="604"/>
      <c r="AI4" s="604"/>
      <c r="AJ4" s="604"/>
      <c r="AK4" s="604"/>
      <c r="AL4" s="604"/>
      <c r="AM4" s="604"/>
      <c r="AN4" s="604"/>
      <c r="AO4" s="604"/>
      <c r="AP4" s="604"/>
      <c r="AQ4" s="604"/>
    </row>
    <row r="5" spans="1:43" ht="45.75" customHeight="1" thickBot="1">
      <c r="A5" s="4" t="s">
        <v>0</v>
      </c>
      <c r="B5" s="85" t="s">
        <v>1</v>
      </c>
      <c r="C5" s="19" t="s">
        <v>2</v>
      </c>
      <c r="D5" s="605" t="s">
        <v>41</v>
      </c>
      <c r="E5" s="606"/>
      <c r="F5" s="606"/>
      <c r="G5" s="606"/>
      <c r="H5" s="606"/>
      <c r="I5" s="606"/>
      <c r="J5" s="606"/>
      <c r="K5" s="606"/>
      <c r="L5" s="606"/>
      <c r="M5" s="606"/>
      <c r="N5" s="606"/>
      <c r="O5" s="606"/>
      <c r="P5" s="607"/>
      <c r="Q5" s="605" t="s">
        <v>42</v>
      </c>
      <c r="R5" s="606"/>
      <c r="S5" s="606"/>
      <c r="T5" s="606"/>
      <c r="U5" s="606"/>
      <c r="V5" s="606"/>
      <c r="W5" s="606"/>
      <c r="X5" s="606"/>
      <c r="Y5" s="606"/>
      <c r="Z5" s="606"/>
      <c r="AA5" s="606"/>
      <c r="AB5" s="606"/>
      <c r="AC5" s="607"/>
      <c r="AD5" s="605" t="s">
        <v>43</v>
      </c>
      <c r="AE5" s="606"/>
      <c r="AF5" s="606"/>
      <c r="AG5" s="606"/>
      <c r="AH5" s="606"/>
      <c r="AI5" s="606"/>
      <c r="AJ5" s="606"/>
      <c r="AK5" s="606"/>
      <c r="AL5" s="606"/>
      <c r="AM5" s="606"/>
      <c r="AN5" s="606"/>
      <c r="AO5" s="606"/>
      <c r="AP5" s="607"/>
      <c r="AQ5" s="19" t="s">
        <v>44</v>
      </c>
    </row>
    <row r="6" spans="1:43" ht="12" customHeight="1">
      <c r="A6" s="13"/>
      <c r="B6" s="20" t="s">
        <v>90</v>
      </c>
      <c r="C6" s="21"/>
      <c r="D6" s="21" t="s">
        <v>45</v>
      </c>
      <c r="E6" s="21" t="s">
        <v>46</v>
      </c>
      <c r="F6" s="21" t="s">
        <v>47</v>
      </c>
      <c r="G6" s="21" t="s">
        <v>48</v>
      </c>
      <c r="H6" s="21" t="s">
        <v>49</v>
      </c>
      <c r="I6" s="21" t="s">
        <v>50</v>
      </c>
      <c r="J6" s="21" t="s">
        <v>51</v>
      </c>
      <c r="K6" s="21" t="s">
        <v>52</v>
      </c>
      <c r="L6" s="21" t="s">
        <v>53</v>
      </c>
      <c r="M6" s="265" t="s">
        <v>54</v>
      </c>
      <c r="N6" s="21" t="s">
        <v>55</v>
      </c>
      <c r="O6" s="21" t="s">
        <v>56</v>
      </c>
      <c r="P6" s="22" t="s">
        <v>57</v>
      </c>
      <c r="Q6" s="22" t="s">
        <v>45</v>
      </c>
      <c r="R6" s="22" t="s">
        <v>46</v>
      </c>
      <c r="S6" s="22" t="s">
        <v>47</v>
      </c>
      <c r="T6" s="22" t="s">
        <v>48</v>
      </c>
      <c r="U6" s="22" t="s">
        <v>49</v>
      </c>
      <c r="V6" s="22" t="s">
        <v>50</v>
      </c>
      <c r="W6" s="22" t="s">
        <v>51</v>
      </c>
      <c r="X6" s="22" t="s">
        <v>52</v>
      </c>
      <c r="Y6" s="22" t="s">
        <v>53</v>
      </c>
      <c r="Z6" s="22" t="s">
        <v>54</v>
      </c>
      <c r="AA6" s="22" t="s">
        <v>55</v>
      </c>
      <c r="AB6" s="22" t="s">
        <v>56</v>
      </c>
      <c r="AC6" s="22" t="s">
        <v>57</v>
      </c>
      <c r="AD6" s="22" t="s">
        <v>45</v>
      </c>
      <c r="AE6" s="22" t="s">
        <v>46</v>
      </c>
      <c r="AF6" s="22" t="s">
        <v>47</v>
      </c>
      <c r="AG6" s="22" t="s">
        <v>48</v>
      </c>
      <c r="AH6" s="22" t="s">
        <v>49</v>
      </c>
      <c r="AI6" s="22" t="s">
        <v>50</v>
      </c>
      <c r="AJ6" s="22" t="s">
        <v>51</v>
      </c>
      <c r="AK6" s="22" t="s">
        <v>52</v>
      </c>
      <c r="AL6" s="22" t="s">
        <v>53</v>
      </c>
      <c r="AM6" s="22" t="s">
        <v>54</v>
      </c>
      <c r="AN6" s="22" t="s">
        <v>55</v>
      </c>
      <c r="AO6" s="22" t="s">
        <v>56</v>
      </c>
      <c r="AP6" s="22" t="s">
        <v>57</v>
      </c>
      <c r="AQ6" s="23"/>
    </row>
    <row r="7" spans="1:45" ht="12" customHeight="1">
      <c r="A7" s="10">
        <v>1</v>
      </c>
      <c r="B7" s="9" t="s">
        <v>93</v>
      </c>
      <c r="C7" s="310">
        <v>7583.8</v>
      </c>
      <c r="D7" s="173"/>
      <c r="E7" s="173"/>
      <c r="F7" s="173"/>
      <c r="G7" s="173"/>
      <c r="H7" s="173">
        <f>112184.36</f>
        <v>112184.36</v>
      </c>
      <c r="I7" s="171">
        <f>42180.39+41328.41</f>
        <v>83508.8</v>
      </c>
      <c r="J7" s="173">
        <f>7396.65</f>
        <v>7396.65</v>
      </c>
      <c r="K7" s="173">
        <f>1500+4500</f>
        <v>6000</v>
      </c>
      <c r="L7" s="181">
        <f>58958.73</f>
        <v>58958.73</v>
      </c>
      <c r="M7" s="181">
        <f>58040.63</f>
        <v>58040.63</v>
      </c>
      <c r="N7" s="173"/>
      <c r="O7" s="173"/>
      <c r="P7" s="173">
        <f>SUM(D7:O7)</f>
        <v>326089.17</v>
      </c>
      <c r="Q7" s="171">
        <f>C7*683907.96/201829.17</f>
        <v>25698.075194224893</v>
      </c>
      <c r="R7" s="171">
        <f>C7*683911.01/201830.07</f>
        <v>25698.07520573124</v>
      </c>
      <c r="S7" s="171">
        <f>C7*683895.43/201825.47</f>
        <v>25698.075480929143</v>
      </c>
      <c r="T7" s="171">
        <f>C7*683694.04/201766.04</f>
        <v>25698.0751594867</v>
      </c>
      <c r="U7" s="171">
        <f aca="true" t="shared" si="0" ref="U7:U12">C7*684628.57/202041.83</f>
        <v>25698.07524098351</v>
      </c>
      <c r="V7" s="171">
        <f>C7*683899.39/201826.64</f>
        <v>25698.075308006908</v>
      </c>
      <c r="W7" s="171">
        <f>C7*684824.26/202099.58</f>
        <v>25698.075290349443</v>
      </c>
      <c r="X7" s="171">
        <f aca="true" t="shared" si="1" ref="X7:X12">C7*683921.08/201833.04</f>
        <v>25698.07543157453</v>
      </c>
      <c r="Y7" s="171">
        <f aca="true" t="shared" si="2" ref="Y7:Y12">C7*683928.87/201835.34</f>
        <v>25698.075293979735</v>
      </c>
      <c r="Z7" s="171">
        <f>C7*684639.99/202094.44</f>
        <v>25691.813966589085</v>
      </c>
      <c r="AA7" s="171">
        <f aca="true" t="shared" si="3" ref="AA7:AA12">C7*683924.13/201833.94</f>
        <v>25698.075443079593</v>
      </c>
      <c r="AB7" s="25">
        <f>C7*683632.03/201747.74</f>
        <v>25698.075176029237</v>
      </c>
      <c r="AC7" s="173">
        <f>SUM(Q7:AB7)</f>
        <v>308370.642190964</v>
      </c>
      <c r="AD7" s="171">
        <f>C7*46546.03/201829.17</f>
        <v>1748.9829756224037</v>
      </c>
      <c r="AE7" s="171">
        <f>C7*92999.86/201830.07</f>
        <v>3494.485922082869</v>
      </c>
      <c r="AF7" s="171">
        <f>C7*39949.9/201825.47</f>
        <v>1501.1586576263144</v>
      </c>
      <c r="AG7" s="171">
        <f>C7*61001.23/201766.04</f>
        <v>2292.8592347552644</v>
      </c>
      <c r="AH7" s="171">
        <f>C7*23553.08/202041.83</f>
        <v>884.0834994614731</v>
      </c>
      <c r="AI7" s="180">
        <f>C7*22254.44/201826.64</f>
        <v>836.2286667012837</v>
      </c>
      <c r="AJ7" s="180">
        <f>C7*0/201833.54</f>
        <v>0</v>
      </c>
      <c r="AK7" s="180">
        <f aca="true" t="shared" si="4" ref="AK7:AK12">C7*44248.39/201833.04</f>
        <v>1662.6164877762333</v>
      </c>
      <c r="AL7" s="171">
        <f aca="true" t="shared" si="5" ref="AL7:AL12">C7*149028.78/201835.34</f>
        <v>5599.636127964508</v>
      </c>
      <c r="AM7" s="171">
        <f>C7*66355.16/202094.44</f>
        <v>2490.045062140255</v>
      </c>
      <c r="AN7" s="171">
        <f aca="true" t="shared" si="6" ref="AN7:AN12">C7*61496.55/201833.94</f>
        <v>2310.6992604415295</v>
      </c>
      <c r="AO7" s="25">
        <f>C7*37317.73/201747.74</f>
        <v>1402.7924217341917</v>
      </c>
      <c r="AP7" s="173">
        <f aca="true" t="shared" si="7" ref="AP7:AP29">SUM(AD7:AO7)</f>
        <v>24223.588316306326</v>
      </c>
      <c r="AQ7" s="186">
        <f aca="true" t="shared" si="8" ref="AQ7:AQ29">P7+AC7+AP7</f>
        <v>658683.4005072704</v>
      </c>
      <c r="AS7" s="148"/>
    </row>
    <row r="8" spans="1:45" ht="12" customHeight="1">
      <c r="A8" s="10">
        <v>2</v>
      </c>
      <c r="B8" s="9" t="s">
        <v>94</v>
      </c>
      <c r="C8" s="310">
        <v>4217.4</v>
      </c>
      <c r="D8" s="173"/>
      <c r="E8" s="173">
        <v>4800.92</v>
      </c>
      <c r="F8" s="173"/>
      <c r="G8" s="177"/>
      <c r="H8" s="173">
        <f>42180.39</f>
        <v>42180.39</v>
      </c>
      <c r="I8" s="173">
        <f>523978.13+93204.35</f>
        <v>617182.48</v>
      </c>
      <c r="J8" s="173">
        <f>117464+7396.65+5965.1</f>
        <v>130825.75</v>
      </c>
      <c r="K8" s="173">
        <f>33800+30700+4500+9299.81+24390</f>
        <v>102689.81</v>
      </c>
      <c r="L8" s="173">
        <f>32978.32</f>
        <v>32978.32</v>
      </c>
      <c r="M8" s="181"/>
      <c r="N8" s="173">
        <f>30710</f>
        <v>30710</v>
      </c>
      <c r="O8" s="173"/>
      <c r="P8" s="173">
        <f aca="true" t="shared" si="9" ref="P8:P29">SUM(D8:O8)</f>
        <v>961367.67</v>
      </c>
      <c r="Q8" s="171">
        <f aca="true" t="shared" si="10" ref="Q8:Q29">C8*683907.96/201829.17</f>
        <v>14290.865044453185</v>
      </c>
      <c r="R8" s="171">
        <f aca="true" t="shared" si="11" ref="R8:R29">C8*683911.01/201830.07</f>
        <v>14290.865050851937</v>
      </c>
      <c r="S8" s="171">
        <f>C8*683895.43/201825.47</f>
        <v>14290.865203891262</v>
      </c>
      <c r="T8" s="171">
        <f>C8*683694.04/201766.04</f>
        <v>14290.865025135052</v>
      </c>
      <c r="U8" s="171">
        <f t="shared" si="0"/>
        <v>14290.865070455953</v>
      </c>
      <c r="V8" s="171">
        <f>C8*683899.39/201826.64</f>
        <v>14290.865107728096</v>
      </c>
      <c r="W8" s="171">
        <f aca="true" t="shared" si="12" ref="W8:W29">C8*684824.26/202099.58</f>
        <v>14290.865097908663</v>
      </c>
      <c r="X8" s="171">
        <f t="shared" si="1"/>
        <v>14290.865176444844</v>
      </c>
      <c r="Y8" s="171">
        <f t="shared" si="2"/>
        <v>14290.865099927494</v>
      </c>
      <c r="Z8" s="171">
        <f aca="true" t="shared" si="13" ref="Z8:Z29">C8*684639.99/202094.44</f>
        <v>14287.383135458846</v>
      </c>
      <c r="AA8" s="171">
        <f t="shared" si="3"/>
        <v>14290.865182842885</v>
      </c>
      <c r="AB8" s="25">
        <f>C8*683632.03/201747.74</f>
        <v>14290.865034334462</v>
      </c>
      <c r="AC8" s="173">
        <f aca="true" t="shared" si="14" ref="AC8:AC29">SUM(Q8:AB8)</f>
        <v>171486.89922943266</v>
      </c>
      <c r="AD8" s="171">
        <f aca="true" t="shared" si="15" ref="AD8:AD29">C8*46546.03/201829.17</f>
        <v>972.6206916572069</v>
      </c>
      <c r="AE8" s="171">
        <f aca="true" t="shared" si="16" ref="AE8:AE29">C8*92999.86/201830.07</f>
        <v>1943.3061166950986</v>
      </c>
      <c r="AF8" s="171">
        <f aca="true" t="shared" si="17" ref="AF8:AF29">C8*39949.9/201825.47</f>
        <v>834.8039930738177</v>
      </c>
      <c r="AG8" s="171">
        <f>C8*61001.23/201766.04</f>
        <v>1275.0737805133112</v>
      </c>
      <c r="AH8" s="171">
        <f aca="true" t="shared" si="18" ref="AH8:AH29">C8*23553.08/202041.83</f>
        <v>491.64452525499297</v>
      </c>
      <c r="AI8" s="180">
        <f>C8*22254.44/201826.64</f>
        <v>465.03214469606183</v>
      </c>
      <c r="AJ8" s="180">
        <f>C8*0/201833.54</f>
        <v>0</v>
      </c>
      <c r="AK8" s="180">
        <f t="shared" si="4"/>
        <v>924.5917317898</v>
      </c>
      <c r="AL8" s="171">
        <f t="shared" si="5"/>
        <v>3113.9936978925493</v>
      </c>
      <c r="AM8" s="171">
        <f aca="true" t="shared" si="19" ref="AM8:AM29">C8*66355.16/202094.44</f>
        <v>1384.7300884873428</v>
      </c>
      <c r="AN8" s="171">
        <f t="shared" si="6"/>
        <v>1284.9947336409327</v>
      </c>
      <c r="AO8" s="25">
        <f>C8*37317.73/201747.74</f>
        <v>780.1018960708061</v>
      </c>
      <c r="AP8" s="173">
        <f t="shared" si="7"/>
        <v>13470.89339977192</v>
      </c>
      <c r="AQ8" s="186">
        <f t="shared" si="8"/>
        <v>1146325.4626292046</v>
      </c>
      <c r="AS8" s="148"/>
    </row>
    <row r="9" spans="1:45" ht="12" customHeight="1">
      <c r="A9" s="10">
        <v>3</v>
      </c>
      <c r="B9" s="9" t="s">
        <v>95</v>
      </c>
      <c r="C9" s="310">
        <v>4259.2</v>
      </c>
      <c r="D9" s="173"/>
      <c r="E9" s="173"/>
      <c r="F9" s="173"/>
      <c r="G9" s="173"/>
      <c r="H9" s="173">
        <f>42180.39</f>
        <v>42180.39</v>
      </c>
      <c r="I9" s="173">
        <f>509289.04+117905.14</f>
        <v>627194.1799999999</v>
      </c>
      <c r="J9" s="173">
        <f>7396.65+5965.1+24750</f>
        <v>38111.75</v>
      </c>
      <c r="K9" s="181">
        <f>27150+32060+24390</f>
        <v>83600</v>
      </c>
      <c r="L9" s="173">
        <f>33336.75</f>
        <v>33336.75</v>
      </c>
      <c r="M9" s="181"/>
      <c r="N9" s="173">
        <f>16650</f>
        <v>16650</v>
      </c>
      <c r="O9" s="173"/>
      <c r="P9" s="173">
        <f t="shared" si="9"/>
        <v>841073.07</v>
      </c>
      <c r="Q9" s="171">
        <f t="shared" si="10"/>
        <v>14432.50637770546</v>
      </c>
      <c r="R9" s="171">
        <f t="shared" si="11"/>
        <v>14432.506384167631</v>
      </c>
      <c r="S9" s="171">
        <f>C9*683895.43/201825.47</f>
        <v>14432.506538723781</v>
      </c>
      <c r="T9" s="171">
        <f>C9*683694.04/201766.04</f>
        <v>14432.50635819586</v>
      </c>
      <c r="U9" s="171">
        <f t="shared" si="0"/>
        <v>14432.506403965952</v>
      </c>
      <c r="V9" s="171">
        <f>C9*683899.39/201826.64</f>
        <v>14432.50644160751</v>
      </c>
      <c r="W9" s="171">
        <f t="shared" si="12"/>
        <v>14432.506431690754</v>
      </c>
      <c r="X9" s="171">
        <f t="shared" si="1"/>
        <v>14432.506511005333</v>
      </c>
      <c r="Y9" s="171">
        <f t="shared" si="2"/>
        <v>14432.506433729593</v>
      </c>
      <c r="Z9" s="171">
        <f t="shared" si="13"/>
        <v>14428.989958397668</v>
      </c>
      <c r="AA9" s="171">
        <f t="shared" si="3"/>
        <v>14432.506517466783</v>
      </c>
      <c r="AB9" s="25">
        <f>C9*683632.03/201747.74</f>
        <v>14432.506367486447</v>
      </c>
      <c r="AC9" s="173">
        <f t="shared" si="14"/>
        <v>173186.56072414276</v>
      </c>
      <c r="AD9" s="171">
        <f t="shared" si="15"/>
        <v>982.2606463476017</v>
      </c>
      <c r="AE9" s="171">
        <f t="shared" si="16"/>
        <v>1962.5668450295836</v>
      </c>
      <c r="AF9" s="171">
        <f t="shared" si="17"/>
        <v>843.0780023948415</v>
      </c>
      <c r="AG9" s="171">
        <f>C9*61001.23/201766.04</f>
        <v>1287.711444482927</v>
      </c>
      <c r="AH9" s="171">
        <f t="shared" si="18"/>
        <v>496.51737135819855</v>
      </c>
      <c r="AI9" s="180">
        <f>C9*22254.44/201826.64</f>
        <v>469.6412269856942</v>
      </c>
      <c r="AJ9" s="180">
        <f>C9*0/201833.54</f>
        <v>0</v>
      </c>
      <c r="AK9" s="180">
        <f t="shared" si="4"/>
        <v>933.7556561007058</v>
      </c>
      <c r="AL9" s="171">
        <f t="shared" si="5"/>
        <v>3144.8574851956055</v>
      </c>
      <c r="AM9" s="171">
        <f t="shared" si="19"/>
        <v>1398.4545911901387</v>
      </c>
      <c r="AN9" s="171">
        <f t="shared" si="6"/>
        <v>1297.730727349424</v>
      </c>
      <c r="AO9" s="25">
        <f>C9*37317.73/201747.74</f>
        <v>787.8337354163175</v>
      </c>
      <c r="AP9" s="173">
        <f t="shared" si="7"/>
        <v>13604.407731851039</v>
      </c>
      <c r="AQ9" s="186">
        <f t="shared" si="8"/>
        <v>1027864.0384559939</v>
      </c>
      <c r="AS9" s="148"/>
    </row>
    <row r="10" spans="1:45" ht="12" customHeight="1">
      <c r="A10" s="10">
        <v>4</v>
      </c>
      <c r="B10" s="9" t="s">
        <v>96</v>
      </c>
      <c r="C10" s="310">
        <v>4228.2</v>
      </c>
      <c r="D10" s="173"/>
      <c r="E10" s="173"/>
      <c r="F10" s="173">
        <f>6538.78+12995.14</f>
        <v>19533.92</v>
      </c>
      <c r="G10" s="173">
        <v>23789.86</v>
      </c>
      <c r="H10" s="173">
        <f>153489.79+5615.4+5200.55</f>
        <v>164305.74</v>
      </c>
      <c r="I10" s="173">
        <f>42180.39</f>
        <v>42180.39</v>
      </c>
      <c r="J10" s="173">
        <f>7396.65+5965.1</f>
        <v>13361.75</v>
      </c>
      <c r="K10" s="181">
        <f>8000+50900+24390</f>
        <v>83290</v>
      </c>
      <c r="L10" s="173">
        <f>33072.23</f>
        <v>33072.23</v>
      </c>
      <c r="M10" s="181">
        <f>36835.37</f>
        <v>36835.37</v>
      </c>
      <c r="N10" s="173">
        <f>22050</f>
        <v>22050</v>
      </c>
      <c r="O10" s="173"/>
      <c r="P10" s="173">
        <f t="shared" si="9"/>
        <v>438419.25999999995</v>
      </c>
      <c r="Q10" s="171">
        <f t="shared" si="10"/>
        <v>14327.461369791094</v>
      </c>
      <c r="R10" s="171">
        <f t="shared" si="11"/>
        <v>14327.46137620623</v>
      </c>
      <c r="S10" s="171">
        <f>C10*635251.89/201825.47</f>
        <v>13308.389874171975</v>
      </c>
      <c r="T10" s="171">
        <f>C10*684595.36/202032.03</f>
        <v>14327.461349331588</v>
      </c>
      <c r="U10" s="171">
        <f t="shared" si="0"/>
        <v>14327.461395860451</v>
      </c>
      <c r="V10" s="171">
        <f>C10*684618.04/202045.96</f>
        <v>14326.948169258125</v>
      </c>
      <c r="W10" s="171">
        <f t="shared" si="12"/>
        <v>14327.461423383464</v>
      </c>
      <c r="X10" s="171">
        <f t="shared" si="1"/>
        <v>14327.461502120761</v>
      </c>
      <c r="Y10" s="171">
        <f t="shared" si="2"/>
        <v>14327.461425407462</v>
      </c>
      <c r="Z10" s="171">
        <f t="shared" si="13"/>
        <v>14323.970544256437</v>
      </c>
      <c r="AA10" s="171">
        <f t="shared" si="3"/>
        <v>14327.461508535185</v>
      </c>
      <c r="AB10" s="25">
        <f>C10*683632.03/201747.74</f>
        <v>14327.461359646457</v>
      </c>
      <c r="AC10" s="173">
        <f t="shared" si="14"/>
        <v>170906.46129796925</v>
      </c>
      <c r="AD10" s="171">
        <f t="shared" si="15"/>
        <v>975.1113976537681</v>
      </c>
      <c r="AE10" s="171">
        <f t="shared" si="16"/>
        <v>1948.2825728197981</v>
      </c>
      <c r="AF10" s="171">
        <f t="shared" si="17"/>
        <v>836.9417753864267</v>
      </c>
      <c r="AG10" s="171">
        <f>C10*104729.46/202032.03</f>
        <v>2191.816331162935</v>
      </c>
      <c r="AH10" s="171">
        <f t="shared" si="18"/>
        <v>492.90353812376384</v>
      </c>
      <c r="AI10" s="180">
        <f>C10*9182.06/202045.96</f>
        <v>192.1522513590472</v>
      </c>
      <c r="AJ10" s="180">
        <f>C10*0/202099.58</f>
        <v>0</v>
      </c>
      <c r="AK10" s="180">
        <f t="shared" si="4"/>
        <v>926.9594442911824</v>
      </c>
      <c r="AL10" s="171">
        <f t="shared" si="5"/>
        <v>3121.9680735593674</v>
      </c>
      <c r="AM10" s="171">
        <f t="shared" si="19"/>
        <v>1388.2761322478739</v>
      </c>
      <c r="AN10" s="171">
        <f t="shared" si="6"/>
        <v>1288.2853731637008</v>
      </c>
      <c r="AO10" s="25">
        <f>C10*37317.73/201747.74</f>
        <v>782.0995961887851</v>
      </c>
      <c r="AP10" s="173">
        <f t="shared" si="7"/>
        <v>14144.79648595665</v>
      </c>
      <c r="AQ10" s="186">
        <f t="shared" si="8"/>
        <v>623470.5177839259</v>
      </c>
      <c r="AS10" s="148"/>
    </row>
    <row r="11" spans="1:45" ht="12" customHeight="1">
      <c r="A11" s="10">
        <v>5</v>
      </c>
      <c r="B11" s="9" t="s">
        <v>97</v>
      </c>
      <c r="C11" s="310">
        <v>4275.8</v>
      </c>
      <c r="D11" s="173"/>
      <c r="E11" s="173"/>
      <c r="F11" s="173"/>
      <c r="G11" s="173"/>
      <c r="H11" s="173">
        <f>153489.79</f>
        <v>153489.79</v>
      </c>
      <c r="I11" s="173">
        <f>42180.39</f>
        <v>42180.39</v>
      </c>
      <c r="J11" s="173">
        <f>7396.65</f>
        <v>7396.65</v>
      </c>
      <c r="K11" s="181">
        <f>3950+3850+3349.43+24390+28361</f>
        <v>63900.43</v>
      </c>
      <c r="L11" s="173">
        <f>33406.4</f>
        <v>33406.4</v>
      </c>
      <c r="M11" s="181"/>
      <c r="N11" s="173"/>
      <c r="O11" s="173"/>
      <c r="P11" s="173">
        <f t="shared" si="9"/>
        <v>300373.66000000003</v>
      </c>
      <c r="Q11" s="171">
        <f t="shared" si="10"/>
        <v>14488.756285169284</v>
      </c>
      <c r="R11" s="171">
        <f t="shared" si="11"/>
        <v>14488.75629165664</v>
      </c>
      <c r="S11" s="171">
        <f aca="true" t="shared" si="20" ref="S11:S29">C11*635251.89/201825.47</f>
        <v>13458.21234189124</v>
      </c>
      <c r="T11" s="171">
        <f aca="true" t="shared" si="21" ref="T11:T29">C11*684595.36/202032.03</f>
        <v>14488.756264479449</v>
      </c>
      <c r="U11" s="171">
        <f t="shared" si="0"/>
        <v>14488.756311532123</v>
      </c>
      <c r="V11" s="171">
        <f aca="true" t="shared" si="22" ref="V11:V29">C11*684618.04/202045.96</f>
        <v>14488.237307155265</v>
      </c>
      <c r="W11" s="171">
        <f t="shared" si="12"/>
        <v>14488.756339364982</v>
      </c>
      <c r="X11" s="171">
        <f t="shared" si="1"/>
        <v>14488.756418988683</v>
      </c>
      <c r="Y11" s="171">
        <f t="shared" si="2"/>
        <v>14488.756341411769</v>
      </c>
      <c r="Z11" s="171">
        <f t="shared" si="13"/>
        <v>14485.22616080878</v>
      </c>
      <c r="AA11" s="171">
        <f t="shared" si="3"/>
        <v>14488.756425475322</v>
      </c>
      <c r="AB11" s="25">
        <f>C11*683632.03/201747.74</f>
        <v>14488.756274910442</v>
      </c>
      <c r="AC11" s="173">
        <f t="shared" si="14"/>
        <v>172830.48276284398</v>
      </c>
      <c r="AD11" s="171">
        <f t="shared" si="15"/>
        <v>986.0889537126868</v>
      </c>
      <c r="AE11" s="171">
        <f t="shared" si="16"/>
        <v>1970.2158424064362</v>
      </c>
      <c r="AF11" s="171">
        <f t="shared" si="17"/>
        <v>846.3638529864443</v>
      </c>
      <c r="AG11" s="171">
        <f aca="true" t="shared" si="23" ref="AG11:AG29">C11*104729.46/202032.03</f>
        <v>2216.4912418491267</v>
      </c>
      <c r="AH11" s="171">
        <f t="shared" si="18"/>
        <v>498.4525207676055</v>
      </c>
      <c r="AI11" s="180">
        <f aca="true" t="shared" si="24" ref="AI11:AI29">C11*9182.06/202045.96</f>
        <v>194.31545252377234</v>
      </c>
      <c r="AJ11" s="180">
        <f aca="true" t="shared" si="25" ref="AJ11:AJ29">C11*0/202099.58</f>
        <v>0</v>
      </c>
      <c r="AK11" s="180">
        <f t="shared" si="4"/>
        <v>937.3949179083861</v>
      </c>
      <c r="AL11" s="171">
        <f t="shared" si="5"/>
        <v>3157.1143959427523</v>
      </c>
      <c r="AM11" s="171">
        <f t="shared" si="19"/>
        <v>1403.9049917850289</v>
      </c>
      <c r="AN11" s="171">
        <f t="shared" si="6"/>
        <v>1302.7885621714565</v>
      </c>
      <c r="AO11" s="25">
        <f>C11*37317.73/201747.74</f>
        <v>790.9042744865445</v>
      </c>
      <c r="AP11" s="173">
        <f t="shared" si="7"/>
        <v>14304.035006540238</v>
      </c>
      <c r="AQ11" s="186">
        <f t="shared" si="8"/>
        <v>487508.17776938423</v>
      </c>
      <c r="AS11" s="148"/>
    </row>
    <row r="12" spans="1:45" ht="12" customHeight="1">
      <c r="A12" s="10">
        <v>6</v>
      </c>
      <c r="B12" s="9" t="s">
        <v>98</v>
      </c>
      <c r="C12" s="310">
        <v>4648.3</v>
      </c>
      <c r="D12" s="173"/>
      <c r="E12" s="173"/>
      <c r="F12" s="173">
        <f>29287.98+11219.28</f>
        <v>40507.26</v>
      </c>
      <c r="G12" s="173"/>
      <c r="H12" s="173"/>
      <c r="I12" s="173">
        <f>50000+106950+42180.39+3504.15</f>
        <v>202634.54</v>
      </c>
      <c r="J12" s="173">
        <f>7396.65</f>
        <v>7396.65</v>
      </c>
      <c r="K12" s="181">
        <f>14750+3000+11519.83+24390+3221</f>
        <v>56880.83</v>
      </c>
      <c r="L12" s="173">
        <f>43300+36269.11</f>
        <v>79569.11</v>
      </c>
      <c r="M12" s="181"/>
      <c r="N12" s="173">
        <f>2700+6750</f>
        <v>9450</v>
      </c>
      <c r="O12" s="173"/>
      <c r="P12" s="173">
        <f t="shared" si="9"/>
        <v>396438.39</v>
      </c>
      <c r="Q12" s="171">
        <f t="shared" si="10"/>
        <v>15750.99065446288</v>
      </c>
      <c r="R12" s="171">
        <f t="shared" si="11"/>
        <v>15750.990661515401</v>
      </c>
      <c r="S12" s="171">
        <f t="shared" si="20"/>
        <v>14630.667577719503</v>
      </c>
      <c r="T12" s="171">
        <f t="shared" si="21"/>
        <v>15750.990631970584</v>
      </c>
      <c r="U12" s="171">
        <f t="shared" si="0"/>
        <v>15750.990683122402</v>
      </c>
      <c r="V12" s="171">
        <f t="shared" si="22"/>
        <v>15750.426464018386</v>
      </c>
      <c r="W12" s="171">
        <f t="shared" si="12"/>
        <v>15750.990713380012</v>
      </c>
      <c r="X12" s="171">
        <f t="shared" si="1"/>
        <v>15750.990799940386</v>
      </c>
      <c r="Y12" s="171">
        <f t="shared" si="2"/>
        <v>15750.990715605107</v>
      </c>
      <c r="Z12" s="171">
        <f t="shared" si="13"/>
        <v>15747.15299202195</v>
      </c>
      <c r="AA12" s="171">
        <f t="shared" si="3"/>
        <v>15750.990806992124</v>
      </c>
      <c r="AB12" s="171">
        <f>C12*683914.4/201831.07</f>
        <v>15750.990694941072</v>
      </c>
      <c r="AC12" s="173">
        <f t="shared" si="14"/>
        <v>187887.16339568983</v>
      </c>
      <c r="AD12" s="171">
        <f t="shared" si="15"/>
        <v>1071.9952485014926</v>
      </c>
      <c r="AE12" s="171">
        <f t="shared" si="16"/>
        <v>2141.857500411113</v>
      </c>
      <c r="AF12" s="171">
        <f t="shared" si="17"/>
        <v>920.0975484907827</v>
      </c>
      <c r="AG12" s="171">
        <f t="shared" si="23"/>
        <v>2409.5879693828747</v>
      </c>
      <c r="AH12" s="171">
        <f t="shared" si="18"/>
        <v>541.8768072136351</v>
      </c>
      <c r="AI12" s="180">
        <f t="shared" si="24"/>
        <v>211.24386499982478</v>
      </c>
      <c r="AJ12" s="180">
        <f t="shared" si="25"/>
        <v>0</v>
      </c>
      <c r="AK12" s="180">
        <f t="shared" si="4"/>
        <v>1019.0590759421748</v>
      </c>
      <c r="AL12" s="171">
        <f t="shared" si="5"/>
        <v>3432.156519636254</v>
      </c>
      <c r="AM12" s="171">
        <f t="shared" si="19"/>
        <v>1526.210667784824</v>
      </c>
      <c r="AN12" s="171">
        <f t="shared" si="6"/>
        <v>1416.2851568224849</v>
      </c>
      <c r="AO12" s="171">
        <f>C12*24467.24/201831.07</f>
        <v>563.4963521325037</v>
      </c>
      <c r="AP12" s="173">
        <f t="shared" si="7"/>
        <v>15253.866711317965</v>
      </c>
      <c r="AQ12" s="186">
        <f t="shared" si="8"/>
        <v>599579.4201070077</v>
      </c>
      <c r="AS12" s="148"/>
    </row>
    <row r="13" spans="1:45" ht="12" customHeight="1">
      <c r="A13" s="10">
        <v>7</v>
      </c>
      <c r="B13" s="9" t="s">
        <v>99</v>
      </c>
      <c r="C13" s="310">
        <v>4348</v>
      </c>
      <c r="D13" s="173"/>
      <c r="E13" s="173"/>
      <c r="F13" s="173"/>
      <c r="G13" s="173"/>
      <c r="H13" s="173">
        <f>4063.02</f>
        <v>4063.02</v>
      </c>
      <c r="I13" s="173">
        <f>42180.39</f>
        <v>42180.39</v>
      </c>
      <c r="J13" s="173">
        <f>7396.65+83877.68+5965.1+23450</f>
        <v>120689.43</v>
      </c>
      <c r="K13" s="181">
        <f>9150+24390+24969</f>
        <v>58509</v>
      </c>
      <c r="L13" s="173">
        <f>34076.3</f>
        <v>34076.3</v>
      </c>
      <c r="M13" s="181">
        <f>5081.77</f>
        <v>5081.77</v>
      </c>
      <c r="N13" s="173">
        <f>19840</f>
        <v>19840</v>
      </c>
      <c r="O13" s="173"/>
      <c r="P13" s="173">
        <f t="shared" si="9"/>
        <v>284439.91000000003</v>
      </c>
      <c r="Q13" s="171">
        <f t="shared" si="10"/>
        <v>14733.409497150486</v>
      </c>
      <c r="R13" s="171">
        <f t="shared" si="11"/>
        <v>14733.409503747385</v>
      </c>
      <c r="S13" s="171">
        <f t="shared" si="20"/>
        <v>13685.464068137684</v>
      </c>
      <c r="T13" s="171">
        <f t="shared" si="21"/>
        <v>14733.409476111286</v>
      </c>
      <c r="U13" s="171">
        <f>C13*610833.18/202041.83</f>
        <v>13145.310882602877</v>
      </c>
      <c r="V13" s="171">
        <f t="shared" si="22"/>
        <v>14732.881755814371</v>
      </c>
      <c r="W13" s="171">
        <f t="shared" si="12"/>
        <v>14733.409552261317</v>
      </c>
      <c r="X13" s="171">
        <f>C13*684817.69/202097.64</f>
        <v>14733.409633680036</v>
      </c>
      <c r="Y13" s="171">
        <f>C13*642596.4/202097.64</f>
        <v>13825.045889699653</v>
      </c>
      <c r="Z13" s="171">
        <f t="shared" si="13"/>
        <v>14729.81976406674</v>
      </c>
      <c r="AA13" s="171">
        <f>C13*684796/202091.24</f>
        <v>14733.409562928111</v>
      </c>
      <c r="AB13" s="171">
        <f aca="true" t="shared" si="26" ref="AB13:AB29">C13*684791.93/202090.04</f>
        <v>14733.409482426745</v>
      </c>
      <c r="AC13" s="173">
        <f t="shared" si="14"/>
        <v>173252.3890686267</v>
      </c>
      <c r="AD13" s="171">
        <f t="shared" si="15"/>
        <v>1002.7397845415505</v>
      </c>
      <c r="AE13" s="171">
        <f t="shared" si="16"/>
        <v>2003.4843731660005</v>
      </c>
      <c r="AF13" s="171">
        <f t="shared" si="17"/>
        <v>860.6553236318489</v>
      </c>
      <c r="AG13" s="171">
        <f t="shared" si="23"/>
        <v>2253.918312259695</v>
      </c>
      <c r="AH13" s="171">
        <f t="shared" si="18"/>
        <v>506.86925494586944</v>
      </c>
      <c r="AI13" s="180">
        <f t="shared" si="24"/>
        <v>197.59661059295615</v>
      </c>
      <c r="AJ13" s="180">
        <f t="shared" si="25"/>
        <v>0</v>
      </c>
      <c r="AK13" s="180">
        <f>C13*25006.94/202097.64</f>
        <v>538.0081386403126</v>
      </c>
      <c r="AL13" s="171">
        <f>C13*104448.67/202097.64</f>
        <v>2247.1455735950203</v>
      </c>
      <c r="AM13" s="171">
        <f t="shared" si="19"/>
        <v>1427.6109509989487</v>
      </c>
      <c r="AN13" s="171">
        <f>C13*74770.07/202091.24</f>
        <v>1608.68063534075</v>
      </c>
      <c r="AO13" s="171">
        <f aca="true" t="shared" si="27" ref="AO13:AO29">C13*35910.93/202090.04</f>
        <v>772.6294855501044</v>
      </c>
      <c r="AP13" s="173">
        <f t="shared" si="7"/>
        <v>13419.338443263056</v>
      </c>
      <c r="AQ13" s="186">
        <f t="shared" si="8"/>
        <v>471111.6375118898</v>
      </c>
      <c r="AS13" s="148"/>
    </row>
    <row r="14" spans="1:45" ht="12" customHeight="1">
      <c r="A14" s="10">
        <v>8</v>
      </c>
      <c r="B14" s="9" t="s">
        <v>100</v>
      </c>
      <c r="C14" s="310">
        <v>4339.5</v>
      </c>
      <c r="D14" s="173"/>
      <c r="E14" s="173"/>
      <c r="F14" s="173"/>
      <c r="G14" s="173"/>
      <c r="H14" s="173">
        <f>4063.02</f>
        <v>4063.02</v>
      </c>
      <c r="I14" s="173">
        <f>42180.39</f>
        <v>42180.39</v>
      </c>
      <c r="J14" s="173">
        <f>7396.65+83877.68</f>
        <v>91274.32999999999</v>
      </c>
      <c r="K14" s="181">
        <f>24390</f>
        <v>24390</v>
      </c>
      <c r="L14" s="173">
        <f>14452.98+6731.64+33974.56</f>
        <v>55159.17999999999</v>
      </c>
      <c r="M14" s="181"/>
      <c r="N14" s="173">
        <f>5200</f>
        <v>5200</v>
      </c>
      <c r="O14" s="173"/>
      <c r="P14" s="173">
        <f t="shared" si="9"/>
        <v>222266.91999999998</v>
      </c>
      <c r="Q14" s="171">
        <f t="shared" si="10"/>
        <v>14704.606833690095</v>
      </c>
      <c r="R14" s="171">
        <f t="shared" si="11"/>
        <v>14704.606840274097</v>
      </c>
      <c r="S14" s="171">
        <f t="shared" si="20"/>
        <v>13658.71005604496</v>
      </c>
      <c r="T14" s="171">
        <f t="shared" si="21"/>
        <v>14704.606812692025</v>
      </c>
      <c r="U14" s="171">
        <f aca="true" t="shared" si="28" ref="U14:U29">C14*610833.18/202041.83</f>
        <v>13119.612827749583</v>
      </c>
      <c r="V14" s="171">
        <f t="shared" si="22"/>
        <v>14704.080124047025</v>
      </c>
      <c r="W14" s="171">
        <f t="shared" si="12"/>
        <v>14704.606888693188</v>
      </c>
      <c r="X14" s="171">
        <f aca="true" t="shared" si="29" ref="X14:X29">C14*684817.69/202097.64</f>
        <v>14704.60696995274</v>
      </c>
      <c r="Y14" s="171">
        <f aca="true" t="shared" si="30" ref="Y14:Y29">C14*642596.4/202097.64</f>
        <v>13798.019006060635</v>
      </c>
      <c r="Z14" s="171">
        <f t="shared" si="13"/>
        <v>14701.024118253823</v>
      </c>
      <c r="AA14" s="171">
        <f aca="true" t="shared" si="31" ref="AA14:AA29">C14*684796/202091.24</f>
        <v>14704.60689933913</v>
      </c>
      <c r="AB14" s="171">
        <f t="shared" si="26"/>
        <v>14704.606818995137</v>
      </c>
      <c r="AC14" s="173">
        <f t="shared" si="14"/>
        <v>172913.69419579246</v>
      </c>
      <c r="AD14" s="171">
        <f t="shared" si="15"/>
        <v>1000.7795066738865</v>
      </c>
      <c r="AE14" s="171">
        <f t="shared" si="16"/>
        <v>1999.5677178826725</v>
      </c>
      <c r="AF14" s="171">
        <f t="shared" si="17"/>
        <v>858.9728097747029</v>
      </c>
      <c r="AG14" s="171">
        <f t="shared" si="23"/>
        <v>2249.512078208589</v>
      </c>
      <c r="AH14" s="171">
        <f t="shared" si="18"/>
        <v>505.8783651880406</v>
      </c>
      <c r="AI14" s="180">
        <f t="shared" si="24"/>
        <v>197.21032467068383</v>
      </c>
      <c r="AJ14" s="180">
        <f t="shared" si="25"/>
        <v>0</v>
      </c>
      <c r="AK14" s="180">
        <f aca="true" t="shared" si="32" ref="AK14:AK29">C14*25006.94/202097.64</f>
        <v>536.9563747998244</v>
      </c>
      <c r="AL14" s="171">
        <f aca="true" t="shared" si="33" ref="AL14:AL29">C14*104448.67/202097.64</f>
        <v>2242.752579718397</v>
      </c>
      <c r="AM14" s="171">
        <f t="shared" si="19"/>
        <v>1424.8200832244568</v>
      </c>
      <c r="AN14" s="171">
        <f aca="true" t="shared" si="34" ref="AN14:AN29">C14*74770.07/202091.24</f>
        <v>1605.535790492453</v>
      </c>
      <c r="AO14" s="171">
        <f t="shared" si="27"/>
        <v>771.119055323063</v>
      </c>
      <c r="AP14" s="173">
        <f t="shared" si="7"/>
        <v>13393.104685956769</v>
      </c>
      <c r="AQ14" s="186">
        <f t="shared" si="8"/>
        <v>408573.71888174926</v>
      </c>
      <c r="AS14" s="148"/>
    </row>
    <row r="15" spans="1:45" ht="12" customHeight="1">
      <c r="A15" s="10">
        <v>9</v>
      </c>
      <c r="B15" s="9" t="s">
        <v>101</v>
      </c>
      <c r="C15" s="310">
        <v>4617.69</v>
      </c>
      <c r="D15" s="173">
        <f>4078.82+1621.61</f>
        <v>5700.43</v>
      </c>
      <c r="E15" s="173"/>
      <c r="F15" s="173"/>
      <c r="G15" s="173"/>
      <c r="H15" s="173"/>
      <c r="I15" s="173">
        <f>11220.84+42180.39</f>
        <v>53401.229999999996</v>
      </c>
      <c r="J15" s="173">
        <f>7396.65</f>
        <v>7396.65</v>
      </c>
      <c r="K15" s="181">
        <f>24390</f>
        <v>24390</v>
      </c>
      <c r="L15" s="173">
        <v>36144.6</v>
      </c>
      <c r="M15" s="181">
        <f>12091.4+7013.52</f>
        <v>19104.92</v>
      </c>
      <c r="N15" s="173"/>
      <c r="O15" s="173"/>
      <c r="P15" s="173">
        <f t="shared" si="9"/>
        <v>146137.83000000002</v>
      </c>
      <c r="Q15" s="171">
        <f t="shared" si="10"/>
        <v>15647.267180519046</v>
      </c>
      <c r="R15" s="171">
        <f t="shared" si="11"/>
        <v>15647.267187525127</v>
      </c>
      <c r="S15" s="171">
        <f t="shared" si="20"/>
        <v>14534.321658877345</v>
      </c>
      <c r="T15" s="171">
        <f t="shared" si="21"/>
        <v>15647.26715817487</v>
      </c>
      <c r="U15" s="171">
        <f t="shared" si="28"/>
        <v>13960.664813589345</v>
      </c>
      <c r="V15" s="171">
        <f t="shared" si="22"/>
        <v>15646.706705383269</v>
      </c>
      <c r="W15" s="171">
        <f t="shared" si="12"/>
        <v>15647.267239048197</v>
      </c>
      <c r="X15" s="171">
        <f t="shared" si="29"/>
        <v>15647.267325517008</v>
      </c>
      <c r="Y15" s="171">
        <f t="shared" si="30"/>
        <v>14682.56121306513</v>
      </c>
      <c r="Z15" s="171">
        <f t="shared" si="13"/>
        <v>15643.454789865073</v>
      </c>
      <c r="AA15" s="171">
        <f t="shared" si="31"/>
        <v>15647.267250376612</v>
      </c>
      <c r="AB15" s="171">
        <f t="shared" si="26"/>
        <v>15647.26716488205</v>
      </c>
      <c r="AC15" s="173">
        <f t="shared" si="14"/>
        <v>183998.57968682304</v>
      </c>
      <c r="AD15" s="171">
        <f t="shared" si="15"/>
        <v>1064.935941968646</v>
      </c>
      <c r="AE15" s="171">
        <f t="shared" si="16"/>
        <v>2127.7529335613863</v>
      </c>
      <c r="AF15" s="171">
        <f t="shared" si="17"/>
        <v>914.0385191769898</v>
      </c>
      <c r="AG15" s="171">
        <f t="shared" si="23"/>
        <v>2393.7203429941283</v>
      </c>
      <c r="AH15" s="171">
        <f t="shared" si="18"/>
        <v>538.3084383327948</v>
      </c>
      <c r="AI15" s="180">
        <f t="shared" si="24"/>
        <v>209.85278122561814</v>
      </c>
      <c r="AJ15" s="180">
        <f t="shared" si="25"/>
        <v>0</v>
      </c>
      <c r="AK15" s="180">
        <f t="shared" si="32"/>
        <v>571.3787492451668</v>
      </c>
      <c r="AL15" s="171">
        <f t="shared" si="33"/>
        <v>2386.527516958139</v>
      </c>
      <c r="AM15" s="171">
        <f t="shared" si="19"/>
        <v>1516.1602604228003</v>
      </c>
      <c r="AN15" s="171">
        <f t="shared" si="34"/>
        <v>1708.4610126510183</v>
      </c>
      <c r="AO15" s="171">
        <f t="shared" si="27"/>
        <v>820.5527711890204</v>
      </c>
      <c r="AP15" s="173">
        <f t="shared" si="7"/>
        <v>14251.68926772571</v>
      </c>
      <c r="AQ15" s="186">
        <f t="shared" si="8"/>
        <v>344388.0989545487</v>
      </c>
      <c r="AS15" s="148"/>
    </row>
    <row r="16" spans="1:45" ht="12" customHeight="1">
      <c r="A16" s="10">
        <v>10</v>
      </c>
      <c r="B16" s="9" t="s">
        <v>102</v>
      </c>
      <c r="C16" s="310">
        <v>4577.2</v>
      </c>
      <c r="D16" s="173"/>
      <c r="E16" s="173"/>
      <c r="F16" s="173">
        <v>9162.11</v>
      </c>
      <c r="G16" s="173"/>
      <c r="H16" s="173"/>
      <c r="I16" s="173">
        <f>42180.39</f>
        <v>42180.39</v>
      </c>
      <c r="J16" s="173">
        <f>147432+7396.65</f>
        <v>154828.65</v>
      </c>
      <c r="K16" s="181">
        <f>3000+24390</f>
        <v>27390</v>
      </c>
      <c r="L16" s="173">
        <f>35802.69</f>
        <v>35802.69</v>
      </c>
      <c r="M16" s="181">
        <f>9678.78</f>
        <v>9678.78</v>
      </c>
      <c r="N16" s="173"/>
      <c r="O16" s="173"/>
      <c r="P16" s="173">
        <f t="shared" si="9"/>
        <v>279042.62</v>
      </c>
      <c r="Q16" s="171">
        <f t="shared" si="10"/>
        <v>15510.064845988314</v>
      </c>
      <c r="R16" s="171">
        <f t="shared" si="11"/>
        <v>15510.064852932965</v>
      </c>
      <c r="S16" s="171">
        <f t="shared" si="20"/>
        <v>14406.87813539094</v>
      </c>
      <c r="T16" s="171">
        <f t="shared" si="21"/>
        <v>15510.06482384006</v>
      </c>
      <c r="U16" s="171">
        <f t="shared" si="28"/>
        <v>13838.251373470535</v>
      </c>
      <c r="V16" s="171">
        <f t="shared" si="22"/>
        <v>15509.5092853527</v>
      </c>
      <c r="W16" s="171">
        <f t="shared" si="12"/>
        <v>15510.064904004254</v>
      </c>
      <c r="X16" s="171">
        <f t="shared" si="29"/>
        <v>15510.06498971487</v>
      </c>
      <c r="Y16" s="171">
        <f t="shared" si="30"/>
        <v>14553.817857942327</v>
      </c>
      <c r="Z16" s="171">
        <f t="shared" si="13"/>
        <v>15506.28588410448</v>
      </c>
      <c r="AA16" s="171">
        <f t="shared" si="31"/>
        <v>15510.064915233337</v>
      </c>
      <c r="AB16" s="171">
        <f t="shared" si="26"/>
        <v>15510.06483048843</v>
      </c>
      <c r="AC16" s="173">
        <f t="shared" si="14"/>
        <v>182385.19669846326</v>
      </c>
      <c r="AD16" s="171">
        <f t="shared" si="15"/>
        <v>1055.5981006907969</v>
      </c>
      <c r="AE16" s="171">
        <f t="shared" si="16"/>
        <v>2109.095830923509</v>
      </c>
      <c r="AF16" s="171">
        <f t="shared" si="17"/>
        <v>906.0238149327733</v>
      </c>
      <c r="AG16" s="171">
        <f t="shared" si="23"/>
        <v>2372.7311174965675</v>
      </c>
      <c r="AH16" s="171">
        <f t="shared" si="18"/>
        <v>533.5883058275606</v>
      </c>
      <c r="AI16" s="180">
        <f t="shared" si="24"/>
        <v>208.01269687352323</v>
      </c>
      <c r="AJ16" s="180">
        <f t="shared" si="25"/>
        <v>0</v>
      </c>
      <c r="AK16" s="180">
        <f t="shared" si="32"/>
        <v>566.3686412567706</v>
      </c>
      <c r="AL16" s="171">
        <f t="shared" si="33"/>
        <v>2365.6013614211424</v>
      </c>
      <c r="AM16" s="171">
        <f t="shared" si="19"/>
        <v>1502.8658796946615</v>
      </c>
      <c r="AN16" s="171">
        <f t="shared" si="34"/>
        <v>1693.480451720718</v>
      </c>
      <c r="AO16" s="171">
        <f t="shared" si="27"/>
        <v>813.3577923780905</v>
      </c>
      <c r="AP16" s="173">
        <f t="shared" si="7"/>
        <v>14126.723993216112</v>
      </c>
      <c r="AQ16" s="186">
        <f t="shared" si="8"/>
        <v>475554.5406916794</v>
      </c>
      <c r="AS16" s="148"/>
    </row>
    <row r="17" spans="1:45" ht="12" customHeight="1">
      <c r="A17" s="10">
        <v>11</v>
      </c>
      <c r="B17" s="9" t="s">
        <v>103</v>
      </c>
      <c r="C17" s="310">
        <v>3579.7</v>
      </c>
      <c r="D17" s="173"/>
      <c r="E17" s="173">
        <v>22621.13</v>
      </c>
      <c r="F17" s="173"/>
      <c r="G17" s="173"/>
      <c r="H17" s="173"/>
      <c r="I17" s="173">
        <f>42180.39</f>
        <v>42180.39</v>
      </c>
      <c r="J17" s="173">
        <f>7396.65</f>
        <v>7396.65</v>
      </c>
      <c r="K17" s="181">
        <f>14800</f>
        <v>14800</v>
      </c>
      <c r="L17" s="173">
        <f>28046.44</f>
        <v>28046.44</v>
      </c>
      <c r="M17" s="181">
        <f>5979.77</f>
        <v>5979.77</v>
      </c>
      <c r="N17" s="173">
        <f>22750+26400+6750+3250</f>
        <v>59150</v>
      </c>
      <c r="O17" s="173"/>
      <c r="P17" s="173">
        <f t="shared" si="9"/>
        <v>180174.38</v>
      </c>
      <c r="Q17" s="171">
        <f t="shared" si="10"/>
        <v>12129.987575195397</v>
      </c>
      <c r="R17" s="171">
        <f t="shared" si="11"/>
        <v>12129.987580626612</v>
      </c>
      <c r="S17" s="171">
        <f t="shared" si="20"/>
        <v>11267.216128038745</v>
      </c>
      <c r="T17" s="171">
        <f t="shared" si="21"/>
        <v>12129.987557873868</v>
      </c>
      <c r="U17" s="171">
        <f t="shared" si="28"/>
        <v>10822.509053922151</v>
      </c>
      <c r="V17" s="171">
        <f t="shared" si="22"/>
        <v>12129.553086772932</v>
      </c>
      <c r="W17" s="171">
        <f t="shared" si="12"/>
        <v>12129.98762056804</v>
      </c>
      <c r="X17" s="171">
        <f t="shared" si="29"/>
        <v>12129.987687599913</v>
      </c>
      <c r="Y17" s="171">
        <f t="shared" si="30"/>
        <v>11382.13357206942</v>
      </c>
      <c r="Z17" s="171">
        <f t="shared" si="13"/>
        <v>12127.032154882638</v>
      </c>
      <c r="AA17" s="171">
        <f t="shared" si="31"/>
        <v>12129.987629349991</v>
      </c>
      <c r="AB17" s="171">
        <f t="shared" si="26"/>
        <v>12129.987563073371</v>
      </c>
      <c r="AC17" s="173">
        <f t="shared" si="14"/>
        <v>142638.35720997307</v>
      </c>
      <c r="AD17" s="171">
        <f t="shared" si="15"/>
        <v>825.5537273972834</v>
      </c>
      <c r="AE17" s="171">
        <f t="shared" si="16"/>
        <v>1649.4648138505822</v>
      </c>
      <c r="AF17" s="171">
        <f t="shared" si="17"/>
        <v>708.5758652265247</v>
      </c>
      <c r="AG17" s="171">
        <f t="shared" si="23"/>
        <v>1855.6465920874032</v>
      </c>
      <c r="AH17" s="171">
        <f t="shared" si="18"/>
        <v>417.304478364703</v>
      </c>
      <c r="AI17" s="180">
        <f t="shared" si="24"/>
        <v>162.6809077597988</v>
      </c>
      <c r="AJ17" s="180">
        <f t="shared" si="25"/>
        <v>0</v>
      </c>
      <c r="AK17" s="180">
        <f t="shared" si="32"/>
        <v>442.94106115242107</v>
      </c>
      <c r="AL17" s="171">
        <f t="shared" si="33"/>
        <v>1850.0706094291845</v>
      </c>
      <c r="AM17" s="171">
        <f t="shared" si="19"/>
        <v>1175.3493379233985</v>
      </c>
      <c r="AN17" s="171">
        <f t="shared" si="34"/>
        <v>1324.4236592293662</v>
      </c>
      <c r="AO17" s="171">
        <f t="shared" si="27"/>
        <v>636.1043627929412</v>
      </c>
      <c r="AP17" s="173">
        <f t="shared" si="7"/>
        <v>11048.115415213606</v>
      </c>
      <c r="AQ17" s="186">
        <f t="shared" si="8"/>
        <v>333860.8526251867</v>
      </c>
      <c r="AS17" s="148"/>
    </row>
    <row r="18" spans="1:45" ht="12" customHeight="1">
      <c r="A18" s="10">
        <v>12</v>
      </c>
      <c r="B18" s="9" t="s">
        <v>104</v>
      </c>
      <c r="C18" s="310">
        <v>1166.7</v>
      </c>
      <c r="D18" s="173"/>
      <c r="E18" s="173"/>
      <c r="F18" s="173"/>
      <c r="G18" s="173"/>
      <c r="H18" s="173"/>
      <c r="I18" s="173"/>
      <c r="J18" s="173"/>
      <c r="K18" s="181"/>
      <c r="L18" s="173">
        <f>9130.47</f>
        <v>9130.47</v>
      </c>
      <c r="M18" s="181"/>
      <c r="N18" s="173"/>
      <c r="O18" s="173">
        <f>32803.92</f>
        <v>32803.92</v>
      </c>
      <c r="P18" s="173">
        <f t="shared" si="9"/>
        <v>41934.39</v>
      </c>
      <c r="Q18" s="171">
        <f t="shared" si="10"/>
        <v>3953.419701086815</v>
      </c>
      <c r="R18" s="171">
        <f t="shared" si="11"/>
        <v>3953.4197028569624</v>
      </c>
      <c r="S18" s="171">
        <f t="shared" si="20"/>
        <v>3672.224224539153</v>
      </c>
      <c r="T18" s="171">
        <f t="shared" si="21"/>
        <v>3953.4196954413615</v>
      </c>
      <c r="U18" s="171">
        <f t="shared" si="28"/>
        <v>3527.284776157492</v>
      </c>
      <c r="V18" s="171">
        <f t="shared" si="22"/>
        <v>3953.2780921133003</v>
      </c>
      <c r="W18" s="171">
        <f t="shared" si="12"/>
        <v>3953.4197158747193</v>
      </c>
      <c r="X18" s="171">
        <f t="shared" si="29"/>
        <v>3953.4197377218256</v>
      </c>
      <c r="Y18" s="171">
        <f t="shared" si="30"/>
        <v>3709.6782519578164</v>
      </c>
      <c r="Z18" s="171">
        <f t="shared" si="13"/>
        <v>3952.4564670507516</v>
      </c>
      <c r="AA18" s="171">
        <f t="shared" si="31"/>
        <v>3953.419718736943</v>
      </c>
      <c r="AB18" s="171">
        <f t="shared" si="26"/>
        <v>3953.4196971359897</v>
      </c>
      <c r="AC18" s="173">
        <f t="shared" si="14"/>
        <v>46488.859780673134</v>
      </c>
      <c r="AD18" s="171">
        <f t="shared" si="15"/>
        <v>269.065433906308</v>
      </c>
      <c r="AE18" s="171">
        <f t="shared" si="16"/>
        <v>537.5954963598833</v>
      </c>
      <c r="AF18" s="171">
        <f t="shared" si="17"/>
        <v>230.93987260378984</v>
      </c>
      <c r="AG18" s="171">
        <f t="shared" si="23"/>
        <v>604.7945020499968</v>
      </c>
      <c r="AH18" s="171">
        <f t="shared" si="18"/>
        <v>136.0083624069333</v>
      </c>
      <c r="AI18" s="180">
        <f t="shared" si="24"/>
        <v>53.021151237074974</v>
      </c>
      <c r="AJ18" s="180">
        <f t="shared" si="25"/>
        <v>0</v>
      </c>
      <c r="AK18" s="180">
        <f t="shared" si="32"/>
        <v>144.36386737618508</v>
      </c>
      <c r="AL18" s="171">
        <f t="shared" si="33"/>
        <v>602.9771712772103</v>
      </c>
      <c r="AM18" s="171">
        <f t="shared" si="19"/>
        <v>383.07122735291483</v>
      </c>
      <c r="AN18" s="171">
        <f t="shared" si="34"/>
        <v>431.65770405980993</v>
      </c>
      <c r="AO18" s="171">
        <f t="shared" si="27"/>
        <v>207.31987598696108</v>
      </c>
      <c r="AP18" s="173">
        <f t="shared" si="7"/>
        <v>3600.814664617067</v>
      </c>
      <c r="AQ18" s="186">
        <f t="shared" si="8"/>
        <v>92024.06444529019</v>
      </c>
      <c r="AS18" s="148"/>
    </row>
    <row r="19" spans="1:45" ht="12" customHeight="1">
      <c r="A19" s="10">
        <v>13</v>
      </c>
      <c r="B19" s="9" t="s">
        <v>105</v>
      </c>
      <c r="C19" s="310">
        <v>1118.6</v>
      </c>
      <c r="D19" s="173"/>
      <c r="E19" s="173"/>
      <c r="F19" s="173"/>
      <c r="G19" s="173"/>
      <c r="H19" s="173"/>
      <c r="I19" s="173"/>
      <c r="J19" s="173"/>
      <c r="K19" s="181"/>
      <c r="L19" s="173">
        <f>8754.05</f>
        <v>8754.05</v>
      </c>
      <c r="M19" s="181"/>
      <c r="N19" s="173"/>
      <c r="O19" s="173"/>
      <c r="P19" s="173">
        <f t="shared" si="9"/>
        <v>8754.05</v>
      </c>
      <c r="Q19" s="171">
        <f t="shared" si="10"/>
        <v>3790.4305113874266</v>
      </c>
      <c r="R19" s="171">
        <f t="shared" si="11"/>
        <v>3790.4305130845955</v>
      </c>
      <c r="S19" s="171">
        <f t="shared" si="20"/>
        <v>3520.8279914026702</v>
      </c>
      <c r="T19" s="171">
        <f t="shared" si="21"/>
        <v>3790.4305059747207</v>
      </c>
      <c r="U19" s="171">
        <f t="shared" si="28"/>
        <v>3381.864018693555</v>
      </c>
      <c r="V19" s="171">
        <f t="shared" si="22"/>
        <v>3790.2947405827863</v>
      </c>
      <c r="W19" s="171">
        <f t="shared" si="12"/>
        <v>3790.430525565664</v>
      </c>
      <c r="X19" s="171">
        <f t="shared" si="29"/>
        <v>3790.4305465120715</v>
      </c>
      <c r="Y19" s="171">
        <f t="shared" si="30"/>
        <v>3556.7378868946707</v>
      </c>
      <c r="Z19" s="171">
        <f t="shared" si="13"/>
        <v>3789.506988980003</v>
      </c>
      <c r="AA19" s="171">
        <f t="shared" si="31"/>
        <v>3790.430528309886</v>
      </c>
      <c r="AB19" s="171">
        <f t="shared" si="26"/>
        <v>3790.430507599484</v>
      </c>
      <c r="AC19" s="173">
        <f t="shared" si="14"/>
        <v>44572.245264987534</v>
      </c>
      <c r="AD19" s="171">
        <f t="shared" si="15"/>
        <v>257.97256738458566</v>
      </c>
      <c r="AE19" s="171">
        <f t="shared" si="16"/>
        <v>515.4318352859908</v>
      </c>
      <c r="AF19" s="171">
        <f t="shared" si="17"/>
        <v>221.4188236004108</v>
      </c>
      <c r="AG19" s="171">
        <f t="shared" si="23"/>
        <v>579.8604011255047</v>
      </c>
      <c r="AH19" s="171">
        <f t="shared" si="18"/>
        <v>130.4010921302782</v>
      </c>
      <c r="AI19" s="180">
        <f t="shared" si="24"/>
        <v>50.83522737103973</v>
      </c>
      <c r="AJ19" s="180">
        <f t="shared" si="25"/>
        <v>0</v>
      </c>
      <c r="AK19" s="180">
        <f t="shared" si="32"/>
        <v>138.412121408246</v>
      </c>
      <c r="AL19" s="171">
        <f t="shared" si="33"/>
        <v>578.1179941636132</v>
      </c>
      <c r="AM19" s="171">
        <f t="shared" si="19"/>
        <v>367.2781991231426</v>
      </c>
      <c r="AN19" s="171">
        <f t="shared" si="34"/>
        <v>413.86158203591606</v>
      </c>
      <c r="AO19" s="171">
        <f t="shared" si="27"/>
        <v>198.77261787864458</v>
      </c>
      <c r="AP19" s="173">
        <f t="shared" si="7"/>
        <v>3452.3624615073727</v>
      </c>
      <c r="AQ19" s="186">
        <f t="shared" si="8"/>
        <v>56778.65772649491</v>
      </c>
      <c r="AS19" s="148"/>
    </row>
    <row r="20" spans="1:45" ht="12" customHeight="1">
      <c r="A20" s="10">
        <v>14</v>
      </c>
      <c r="B20" s="9" t="s">
        <v>106</v>
      </c>
      <c r="C20" s="310">
        <v>5181.7</v>
      </c>
      <c r="D20" s="173"/>
      <c r="E20" s="173"/>
      <c r="F20" s="173">
        <v>19872.66</v>
      </c>
      <c r="G20" s="173">
        <v>40093.81</v>
      </c>
      <c r="H20" s="173"/>
      <c r="I20" s="173">
        <f>42180.39+12452.04</f>
        <v>54632.43</v>
      </c>
      <c r="J20" s="173">
        <f>7396.65</f>
        <v>7396.65</v>
      </c>
      <c r="K20" s="181">
        <f>4500+23250+18250+1500</f>
        <v>47500</v>
      </c>
      <c r="L20" s="173">
        <f>40594.48</f>
        <v>40594.48</v>
      </c>
      <c r="M20" s="181">
        <f>7491.1</f>
        <v>7491.1</v>
      </c>
      <c r="N20" s="173"/>
      <c r="O20" s="173"/>
      <c r="P20" s="173">
        <f t="shared" si="9"/>
        <v>217581.13</v>
      </c>
      <c r="Q20" s="171">
        <f t="shared" si="10"/>
        <v>17558.44250031846</v>
      </c>
      <c r="R20" s="171">
        <f t="shared" si="11"/>
        <v>17558.44250818027</v>
      </c>
      <c r="S20" s="171">
        <f t="shared" si="20"/>
        <v>16309.560524808887</v>
      </c>
      <c r="T20" s="171">
        <f t="shared" si="21"/>
        <v>17558.442475245138</v>
      </c>
      <c r="U20" s="171">
        <f t="shared" si="28"/>
        <v>15665.83656862542</v>
      </c>
      <c r="V20" s="171">
        <f t="shared" si="22"/>
        <v>17557.813568101043</v>
      </c>
      <c r="W20" s="171">
        <f t="shared" si="12"/>
        <v>17558.442565996425</v>
      </c>
      <c r="X20" s="171">
        <f t="shared" si="29"/>
        <v>17558.442663026643</v>
      </c>
      <c r="Y20" s="171">
        <f t="shared" si="30"/>
        <v>16475.906229681852</v>
      </c>
      <c r="Z20" s="171">
        <f t="shared" si="13"/>
        <v>17554.164459858468</v>
      </c>
      <c r="AA20" s="171">
        <f t="shared" si="31"/>
        <v>17558.44257870851</v>
      </c>
      <c r="AB20" s="171">
        <f t="shared" si="26"/>
        <v>17558.44248277154</v>
      </c>
      <c r="AC20" s="173">
        <f t="shared" si="14"/>
        <v>206472.37912532268</v>
      </c>
      <c r="AD20" s="171">
        <f t="shared" si="15"/>
        <v>1195.0084502205502</v>
      </c>
      <c r="AE20" s="171">
        <f t="shared" si="16"/>
        <v>2387.6391390143203</v>
      </c>
      <c r="AF20" s="171">
        <f t="shared" si="17"/>
        <v>1025.680241596861</v>
      </c>
      <c r="AG20" s="171">
        <f t="shared" si="23"/>
        <v>2686.09211560167</v>
      </c>
      <c r="AH20" s="171">
        <f t="shared" si="18"/>
        <v>604.0580538990367</v>
      </c>
      <c r="AI20" s="180">
        <f t="shared" si="24"/>
        <v>235.4844427574795</v>
      </c>
      <c r="AJ20" s="180">
        <f t="shared" si="25"/>
        <v>0</v>
      </c>
      <c r="AK20" s="180">
        <f t="shared" si="32"/>
        <v>641.1676108538427</v>
      </c>
      <c r="AL20" s="171">
        <f t="shared" si="33"/>
        <v>2678.020749470404</v>
      </c>
      <c r="AM20" s="171">
        <f t="shared" si="19"/>
        <v>1701.3458290688257</v>
      </c>
      <c r="AN20" s="171">
        <f t="shared" si="34"/>
        <v>1917.1344176966802</v>
      </c>
      <c r="AO20" s="171">
        <f t="shared" si="27"/>
        <v>920.7760361717975</v>
      </c>
      <c r="AP20" s="173">
        <f t="shared" si="7"/>
        <v>15992.407086351468</v>
      </c>
      <c r="AQ20" s="186">
        <f t="shared" si="8"/>
        <v>440045.91621167416</v>
      </c>
      <c r="AS20" s="148"/>
    </row>
    <row r="21" spans="1:45" ht="12" customHeight="1">
      <c r="A21" s="10">
        <v>15</v>
      </c>
      <c r="B21" s="9" t="s">
        <v>107</v>
      </c>
      <c r="C21" s="310">
        <v>9335.09</v>
      </c>
      <c r="D21" s="173"/>
      <c r="E21" s="173"/>
      <c r="F21" s="173"/>
      <c r="G21" s="173"/>
      <c r="H21" s="173"/>
      <c r="I21" s="173">
        <f>42180.39+143134.66</f>
        <v>185315.05</v>
      </c>
      <c r="J21" s="173">
        <f>58780+7396.65+5965.1</f>
        <v>72141.75</v>
      </c>
      <c r="K21" s="181">
        <f>7500+26000+3813.33+24390</f>
        <v>61703.33</v>
      </c>
      <c r="L21" s="173">
        <f>72670.4</f>
        <v>72670.4</v>
      </c>
      <c r="M21" s="181">
        <f>6772.23+2155.53</f>
        <v>8927.76</v>
      </c>
      <c r="N21" s="173"/>
      <c r="O21" s="173"/>
      <c r="P21" s="173">
        <f t="shared" si="9"/>
        <v>400758.29000000004</v>
      </c>
      <c r="Q21" s="171">
        <f>C21*683907.96/201829.17</f>
        <v>31632.406546171693</v>
      </c>
      <c r="R21" s="171">
        <f t="shared" si="11"/>
        <v>31632.406560335137</v>
      </c>
      <c r="S21" s="171">
        <f t="shared" si="20"/>
        <v>29382.483617256534</v>
      </c>
      <c r="T21" s="171">
        <f t="shared" si="21"/>
        <v>31632.406501000856</v>
      </c>
      <c r="U21" s="171">
        <f t="shared" si="28"/>
        <v>28222.782927110693</v>
      </c>
      <c r="V21" s="171">
        <f t="shared" si="22"/>
        <v>31631.273493533852</v>
      </c>
      <c r="W21" s="171">
        <f t="shared" si="12"/>
        <v>31632.406664493814</v>
      </c>
      <c r="X21" s="171">
        <f t="shared" si="29"/>
        <v>31632.406839298565</v>
      </c>
      <c r="Y21" s="171">
        <f t="shared" si="30"/>
        <v>29682.16366938278</v>
      </c>
      <c r="Z21" s="171">
        <f t="shared" si="13"/>
        <v>31624.69944373086</v>
      </c>
      <c r="AA21" s="171">
        <f t="shared" si="31"/>
        <v>31632.40668739526</v>
      </c>
      <c r="AB21" s="171">
        <f t="shared" si="26"/>
        <v>31632.406514560047</v>
      </c>
      <c r="AC21" s="173">
        <f t="shared" si="14"/>
        <v>371970.24946427013</v>
      </c>
      <c r="AD21" s="171">
        <f t="shared" si="15"/>
        <v>2152.867096429619</v>
      </c>
      <c r="AE21" s="171">
        <f t="shared" si="16"/>
        <v>4301.450537511085</v>
      </c>
      <c r="AF21" s="171">
        <f t="shared" si="17"/>
        <v>1847.8139156123357</v>
      </c>
      <c r="AG21" s="171">
        <f t="shared" si="23"/>
        <v>4839.128403310109</v>
      </c>
      <c r="AH21" s="171">
        <f t="shared" si="18"/>
        <v>1088.2405964012503</v>
      </c>
      <c r="AI21" s="180">
        <f t="shared" si="24"/>
        <v>424.23692354650393</v>
      </c>
      <c r="AJ21" s="180">
        <f t="shared" si="25"/>
        <v>0</v>
      </c>
      <c r="AK21" s="180">
        <f t="shared" si="32"/>
        <v>1155.0953070238722</v>
      </c>
      <c r="AL21" s="171">
        <f t="shared" si="33"/>
        <v>4824.587436203114</v>
      </c>
      <c r="AM21" s="171">
        <f t="shared" si="19"/>
        <v>3065.059041527318</v>
      </c>
      <c r="AN21" s="171">
        <f t="shared" si="34"/>
        <v>3453.8129052812983</v>
      </c>
      <c r="AO21" s="171">
        <f t="shared" si="27"/>
        <v>1658.8237774296051</v>
      </c>
      <c r="AP21" s="173">
        <f t="shared" si="7"/>
        <v>28811.11594027611</v>
      </c>
      <c r="AQ21" s="186">
        <f t="shared" si="8"/>
        <v>801539.6554045463</v>
      </c>
      <c r="AS21" s="148"/>
    </row>
    <row r="22" spans="1:45" ht="12" customHeight="1">
      <c r="A22" s="10">
        <v>16</v>
      </c>
      <c r="B22" s="9" t="s">
        <v>108</v>
      </c>
      <c r="C22" s="310">
        <v>17553.25</v>
      </c>
      <c r="D22" s="173"/>
      <c r="E22" s="173"/>
      <c r="F22" s="173">
        <f>36818.6+162605.12</f>
        <v>199423.72</v>
      </c>
      <c r="G22" s="173">
        <v>4411.37</v>
      </c>
      <c r="H22" s="173">
        <f>10659.74+37213.3</f>
        <v>47873.04</v>
      </c>
      <c r="I22" s="173">
        <f>18688.91+17943.07</f>
        <v>36631.979999999996</v>
      </c>
      <c r="J22" s="173">
        <f>42180.39+42180.39+7396.65</f>
        <v>91757.43</v>
      </c>
      <c r="K22" s="181">
        <f>18200+4500+4500+70910.54+3336.11+24390+24390</f>
        <v>150226.65</v>
      </c>
      <c r="L22" s="173">
        <f>526800+137311.99</f>
        <v>664111.99</v>
      </c>
      <c r="M22" s="181"/>
      <c r="N22" s="173">
        <f>15000+30000+15000+6500+8000+27000</f>
        <v>101500</v>
      </c>
      <c r="O22" s="173"/>
      <c r="P22" s="173">
        <f t="shared" si="9"/>
        <v>1295936.18</v>
      </c>
      <c r="Q22" s="171">
        <f t="shared" si="10"/>
        <v>59480.04145718876</v>
      </c>
      <c r="R22" s="171">
        <f t="shared" si="11"/>
        <v>59480.04148382101</v>
      </c>
      <c r="S22" s="171">
        <f t="shared" si="20"/>
        <v>55249.39561960391</v>
      </c>
      <c r="T22" s="171">
        <f t="shared" si="21"/>
        <v>59480.04137225172</v>
      </c>
      <c r="U22" s="171">
        <f t="shared" si="28"/>
        <v>53068.75074748136</v>
      </c>
      <c r="V22" s="171">
        <f t="shared" si="22"/>
        <v>59477.91092002038</v>
      </c>
      <c r="W22" s="171">
        <f t="shared" si="12"/>
        <v>59480.04167967593</v>
      </c>
      <c r="X22" s="171">
        <f t="shared" si="29"/>
        <v>59480.0420083703</v>
      </c>
      <c r="Y22" s="171">
        <f t="shared" si="30"/>
        <v>55812.89943959761</v>
      </c>
      <c r="Z22" s="171">
        <f t="shared" si="13"/>
        <v>59465.5493959532</v>
      </c>
      <c r="AA22" s="171">
        <f t="shared" si="31"/>
        <v>59480.0417227387</v>
      </c>
      <c r="AB22" s="171">
        <f t="shared" si="26"/>
        <v>59480.04139774776</v>
      </c>
      <c r="AC22" s="173">
        <f t="shared" si="14"/>
        <v>699434.7972444505</v>
      </c>
      <c r="AD22" s="171">
        <f t="shared" si="15"/>
        <v>4048.146762420417</v>
      </c>
      <c r="AE22" s="171">
        <f t="shared" si="16"/>
        <v>8088.238747303611</v>
      </c>
      <c r="AF22" s="171">
        <f t="shared" si="17"/>
        <v>3474.5395721114887</v>
      </c>
      <c r="AG22" s="171">
        <f t="shared" si="23"/>
        <v>9099.262100890637</v>
      </c>
      <c r="AH22" s="171">
        <f t="shared" si="18"/>
        <v>2046.2747813658195</v>
      </c>
      <c r="AI22" s="180">
        <f t="shared" si="24"/>
        <v>797.7145135443441</v>
      </c>
      <c r="AJ22" s="180">
        <f t="shared" si="25"/>
        <v>0</v>
      </c>
      <c r="AK22" s="180">
        <f t="shared" si="32"/>
        <v>2171.9851332999233</v>
      </c>
      <c r="AL22" s="171">
        <f t="shared" si="33"/>
        <v>9071.91997233367</v>
      </c>
      <c r="AM22" s="171">
        <f t="shared" si="19"/>
        <v>5763.388207364834</v>
      </c>
      <c r="AN22" s="171">
        <f t="shared" si="34"/>
        <v>6494.382098043934</v>
      </c>
      <c r="AO22" s="171">
        <f t="shared" si="27"/>
        <v>3119.171692095761</v>
      </c>
      <c r="AP22" s="173">
        <f t="shared" si="7"/>
        <v>54175.02358077444</v>
      </c>
      <c r="AQ22" s="186">
        <f t="shared" si="8"/>
        <v>2049546.000825225</v>
      </c>
      <c r="AS22" s="148"/>
    </row>
    <row r="23" spans="1:45" ht="12" customHeight="1">
      <c r="A23" s="10">
        <v>17</v>
      </c>
      <c r="B23" s="9" t="s">
        <v>109</v>
      </c>
      <c r="C23" s="310">
        <v>1121</v>
      </c>
      <c r="D23" s="173"/>
      <c r="E23" s="173"/>
      <c r="F23" s="173"/>
      <c r="G23" s="173"/>
      <c r="H23" s="173"/>
      <c r="I23" s="173">
        <v>29786.54</v>
      </c>
      <c r="J23" s="173">
        <f>7396.65+2924.4</f>
        <v>10321.05</v>
      </c>
      <c r="K23" s="181">
        <f>24390</f>
        <v>24390</v>
      </c>
      <c r="L23" s="173">
        <f>8772.83</f>
        <v>8772.83</v>
      </c>
      <c r="M23" s="181"/>
      <c r="N23" s="173"/>
      <c r="O23" s="173"/>
      <c r="P23" s="173">
        <f t="shared" si="9"/>
        <v>73270.42</v>
      </c>
      <c r="Q23" s="171">
        <f t="shared" si="10"/>
        <v>3798.563028129184</v>
      </c>
      <c r="R23" s="171">
        <f t="shared" si="11"/>
        <v>3798.5630298299952</v>
      </c>
      <c r="S23" s="171">
        <f t="shared" si="20"/>
        <v>3528.382065405323</v>
      </c>
      <c r="T23" s="171">
        <f t="shared" si="21"/>
        <v>3798.563022704865</v>
      </c>
      <c r="U23" s="171">
        <f t="shared" si="28"/>
        <v>3389.1199400638975</v>
      </c>
      <c r="V23" s="171">
        <f t="shared" si="22"/>
        <v>3798.4269660229784</v>
      </c>
      <c r="W23" s="171">
        <f t="shared" si="12"/>
        <v>3798.563042337842</v>
      </c>
      <c r="X23" s="171">
        <f t="shared" si="29"/>
        <v>3798.56306332919</v>
      </c>
      <c r="Y23" s="171">
        <f t="shared" si="30"/>
        <v>3564.369006980982</v>
      </c>
      <c r="Z23" s="171">
        <f t="shared" si="13"/>
        <v>3797.6375242683566</v>
      </c>
      <c r="AA23" s="171">
        <f t="shared" si="31"/>
        <v>3798.5630450879517</v>
      </c>
      <c r="AB23" s="171">
        <f t="shared" si="26"/>
        <v>3798.5630243331143</v>
      </c>
      <c r="AC23" s="173">
        <f t="shared" si="14"/>
        <v>44667.87675849369</v>
      </c>
      <c r="AD23" s="171">
        <f t="shared" si="15"/>
        <v>258.5260576060437</v>
      </c>
      <c r="AE23" s="171">
        <f t="shared" si="16"/>
        <v>516.5377144248129</v>
      </c>
      <c r="AF23" s="171">
        <f t="shared" si="17"/>
        <v>221.8938863365461</v>
      </c>
      <c r="AG23" s="171">
        <f t="shared" si="23"/>
        <v>581.1045142693464</v>
      </c>
      <c r="AH23" s="171">
        <f t="shared" si="18"/>
        <v>130.6808727677828</v>
      </c>
      <c r="AI23" s="180">
        <f t="shared" si="24"/>
        <v>50.944296337328396</v>
      </c>
      <c r="AJ23" s="180">
        <f t="shared" si="25"/>
        <v>0</v>
      </c>
      <c r="AK23" s="180">
        <f t="shared" si="32"/>
        <v>138.70909002203092</v>
      </c>
      <c r="AL23" s="171">
        <f t="shared" si="33"/>
        <v>579.3583689052479</v>
      </c>
      <c r="AM23" s="171">
        <f t="shared" si="19"/>
        <v>368.06620884770507</v>
      </c>
      <c r="AN23" s="171">
        <f t="shared" si="34"/>
        <v>414.74953822837654</v>
      </c>
      <c r="AO23" s="171">
        <f t="shared" si="27"/>
        <v>199.19909229569157</v>
      </c>
      <c r="AP23" s="173">
        <f t="shared" si="7"/>
        <v>3459.7696400409122</v>
      </c>
      <c r="AQ23" s="186">
        <f t="shared" si="8"/>
        <v>121398.0663985346</v>
      </c>
      <c r="AS23" s="148"/>
    </row>
    <row r="24" spans="1:45" ht="12" customHeight="1">
      <c r="A24" s="10">
        <v>18</v>
      </c>
      <c r="B24" s="9" t="s">
        <v>110</v>
      </c>
      <c r="C24" s="310">
        <v>1478.26</v>
      </c>
      <c r="D24" s="173"/>
      <c r="E24" s="173"/>
      <c r="F24" s="173"/>
      <c r="G24" s="173"/>
      <c r="H24" s="173"/>
      <c r="I24" s="173">
        <f>29786.54</f>
        <v>29786.54</v>
      </c>
      <c r="J24" s="173">
        <f>7396.65</f>
        <v>7396.65</v>
      </c>
      <c r="K24" s="181">
        <f>24390</f>
        <v>24390</v>
      </c>
      <c r="L24" s="173">
        <f>11569.49</f>
        <v>11569.49</v>
      </c>
      <c r="M24" s="181"/>
      <c r="N24" s="173"/>
      <c r="O24" s="173"/>
      <c r="P24" s="173">
        <f t="shared" si="9"/>
        <v>73142.68000000001</v>
      </c>
      <c r="Q24" s="171">
        <f t="shared" si="10"/>
        <v>5009.155916112621</v>
      </c>
      <c r="R24" s="171">
        <f t="shared" si="11"/>
        <v>5009.155918355476</v>
      </c>
      <c r="S24" s="171">
        <f t="shared" si="20"/>
        <v>4652.868931316746</v>
      </c>
      <c r="T24" s="171">
        <f t="shared" si="21"/>
        <v>5009.155908959584</v>
      </c>
      <c r="U24" s="171">
        <f t="shared" si="28"/>
        <v>4469.224302050719</v>
      </c>
      <c r="V24" s="171">
        <f t="shared" si="22"/>
        <v>5008.976491340882</v>
      </c>
      <c r="W24" s="171">
        <f t="shared" si="12"/>
        <v>5009.155934849543</v>
      </c>
      <c r="X24" s="171">
        <f t="shared" si="29"/>
        <v>5009.155962530784</v>
      </c>
      <c r="Y24" s="171">
        <f t="shared" si="30"/>
        <v>4700.324824495724</v>
      </c>
      <c r="Z24" s="171">
        <f t="shared" si="13"/>
        <v>5007.9354564004825</v>
      </c>
      <c r="AA24" s="171">
        <f t="shared" si="31"/>
        <v>5009.155938476107</v>
      </c>
      <c r="AB24" s="171">
        <f t="shared" si="26"/>
        <v>5009.155911106753</v>
      </c>
      <c r="AC24" s="173">
        <f t="shared" si="14"/>
        <v>58903.42149599542</v>
      </c>
      <c r="AD24" s="171">
        <f t="shared" si="15"/>
        <v>340.9176894885907</v>
      </c>
      <c r="AE24" s="171">
        <f t="shared" si="16"/>
        <v>681.1570398979695</v>
      </c>
      <c r="AF24" s="171">
        <f t="shared" si="17"/>
        <v>292.61093346642525</v>
      </c>
      <c r="AG24" s="171">
        <f t="shared" si="23"/>
        <v>766.3011233397002</v>
      </c>
      <c r="AH24" s="171">
        <f t="shared" si="18"/>
        <v>172.328552165658</v>
      </c>
      <c r="AI24" s="180">
        <f t="shared" si="24"/>
        <v>67.18012087744789</v>
      </c>
      <c r="AJ24" s="180">
        <f t="shared" si="25"/>
        <v>0</v>
      </c>
      <c r="AK24" s="180">
        <f t="shared" si="32"/>
        <v>182.91534292236167</v>
      </c>
      <c r="AL24" s="171">
        <f t="shared" si="33"/>
        <v>763.9984856537661</v>
      </c>
      <c r="AM24" s="171">
        <f t="shared" si="19"/>
        <v>485.36802309652853</v>
      </c>
      <c r="AN24" s="171">
        <f t="shared" si="34"/>
        <v>546.9292171110436</v>
      </c>
      <c r="AO24" s="171">
        <f t="shared" si="27"/>
        <v>262.6833632266093</v>
      </c>
      <c r="AP24" s="173">
        <f t="shared" si="7"/>
        <v>4562.3898912461</v>
      </c>
      <c r="AQ24" s="186">
        <f t="shared" si="8"/>
        <v>136608.49138724152</v>
      </c>
      <c r="AS24" s="148"/>
    </row>
    <row r="25" spans="1:45" ht="12" customHeight="1">
      <c r="A25" s="10">
        <v>19</v>
      </c>
      <c r="B25" s="9" t="s">
        <v>111</v>
      </c>
      <c r="C25" s="310">
        <v>1585.53</v>
      </c>
      <c r="D25" s="173"/>
      <c r="E25" s="173"/>
      <c r="F25" s="173"/>
      <c r="G25" s="173"/>
      <c r="H25" s="173"/>
      <c r="I25" s="173">
        <f>29786.54</f>
        <v>29786.54</v>
      </c>
      <c r="J25" s="173">
        <f>7396.65</f>
        <v>7396.65</v>
      </c>
      <c r="K25" s="181">
        <f>30560.28+24390</f>
        <v>54950.28</v>
      </c>
      <c r="L25" s="173">
        <f>12365.54</f>
        <v>12365.54</v>
      </c>
      <c r="M25" s="181"/>
      <c r="N25" s="173"/>
      <c r="O25" s="173"/>
      <c r="P25" s="173">
        <f t="shared" si="9"/>
        <v>104499.01000000001</v>
      </c>
      <c r="Q25" s="171">
        <f t="shared" si="10"/>
        <v>5372.645528982753</v>
      </c>
      <c r="R25" s="171">
        <f t="shared" si="11"/>
        <v>5372.645531388361</v>
      </c>
      <c r="S25" s="171">
        <f t="shared" si="20"/>
        <v>4990.504563926941</v>
      </c>
      <c r="T25" s="171">
        <f t="shared" si="21"/>
        <v>5372.645521310656</v>
      </c>
      <c r="U25" s="171">
        <f t="shared" si="28"/>
        <v>4793.533754299296</v>
      </c>
      <c r="V25" s="171">
        <f t="shared" si="22"/>
        <v>5372.453084244793</v>
      </c>
      <c r="W25" s="171">
        <f t="shared" si="12"/>
        <v>5372.6455490793205</v>
      </c>
      <c r="X25" s="171">
        <f t="shared" si="29"/>
        <v>5372.645578769251</v>
      </c>
      <c r="Y25" s="171">
        <f t="shared" si="30"/>
        <v>5041.404096020122</v>
      </c>
      <c r="Z25" s="171">
        <f t="shared" si="13"/>
        <v>5371.336506559507</v>
      </c>
      <c r="AA25" s="171">
        <f t="shared" si="31"/>
        <v>5372.645552969045</v>
      </c>
      <c r="AB25" s="171">
        <f t="shared" si="26"/>
        <v>5372.6455236136335</v>
      </c>
      <c r="AC25" s="173">
        <f t="shared" si="14"/>
        <v>63177.75079116368</v>
      </c>
      <c r="AD25" s="171">
        <f t="shared" si="15"/>
        <v>365.6563961785107</v>
      </c>
      <c r="AE25" s="171">
        <f t="shared" si="16"/>
        <v>730.5852295735714</v>
      </c>
      <c r="AF25" s="171">
        <f t="shared" si="17"/>
        <v>313.8442583436075</v>
      </c>
      <c r="AG25" s="171">
        <f t="shared" si="23"/>
        <v>821.9077970646537</v>
      </c>
      <c r="AH25" s="171">
        <f t="shared" si="18"/>
        <v>184.83358090945822</v>
      </c>
      <c r="AI25" s="180">
        <f t="shared" si="24"/>
        <v>72.0550492165248</v>
      </c>
      <c r="AJ25" s="180">
        <f t="shared" si="25"/>
        <v>0</v>
      </c>
      <c r="AK25" s="180">
        <f t="shared" si="32"/>
        <v>196.18860258932264</v>
      </c>
      <c r="AL25" s="171">
        <f t="shared" si="33"/>
        <v>819.4380683767508</v>
      </c>
      <c r="AM25" s="171">
        <f t="shared" si="19"/>
        <v>520.5887744106171</v>
      </c>
      <c r="AN25" s="171">
        <f t="shared" si="34"/>
        <v>586.6171590965547</v>
      </c>
      <c r="AO25" s="171">
        <f t="shared" si="27"/>
        <v>281.7449926918714</v>
      </c>
      <c r="AP25" s="173">
        <f t="shared" si="7"/>
        <v>4893.459908451444</v>
      </c>
      <c r="AQ25" s="186">
        <f t="shared" si="8"/>
        <v>172570.22069961514</v>
      </c>
      <c r="AS25" s="148"/>
    </row>
    <row r="26" spans="1:45" ht="12" customHeight="1">
      <c r="A26" s="10">
        <v>20</v>
      </c>
      <c r="B26" s="9" t="s">
        <v>112</v>
      </c>
      <c r="C26" s="310">
        <v>9307.17</v>
      </c>
      <c r="D26" s="173">
        <f>300773</f>
        <v>300773</v>
      </c>
      <c r="E26" s="173"/>
      <c r="F26" s="173">
        <v>12573.11</v>
      </c>
      <c r="G26" s="173">
        <f>6701.01+34440</f>
        <v>41141.01</v>
      </c>
      <c r="H26" s="171">
        <f>42180.39+2063.82</f>
        <v>44244.21</v>
      </c>
      <c r="I26" s="173"/>
      <c r="J26" s="173">
        <f>7396.65+18714.83+27731.42+25685.6+3671.69</f>
        <v>83200.19</v>
      </c>
      <c r="K26" s="181">
        <f>21250+10000+1500+429894</f>
        <v>462644</v>
      </c>
      <c r="L26" s="173">
        <f>9169.05+72498.7+34440</f>
        <v>116107.75</v>
      </c>
      <c r="M26" s="181">
        <f>6994.86+860000</f>
        <v>866994.86</v>
      </c>
      <c r="N26" s="173"/>
      <c r="O26" s="173">
        <f>11341.34</f>
        <v>11341.34</v>
      </c>
      <c r="P26" s="173">
        <f t="shared" si="9"/>
        <v>1939019.47</v>
      </c>
      <c r="Q26" s="171">
        <f t="shared" si="10"/>
        <v>31537.798268075912</v>
      </c>
      <c r="R26" s="171">
        <f t="shared" si="11"/>
        <v>31537.798282196996</v>
      </c>
      <c r="S26" s="171">
        <f t="shared" si="20"/>
        <v>29294.604556359016</v>
      </c>
      <c r="T26" s="171">
        <f t="shared" si="21"/>
        <v>31537.79822304018</v>
      </c>
      <c r="U26" s="171">
        <f t="shared" si="28"/>
        <v>28138.37237516905</v>
      </c>
      <c r="V26" s="171">
        <f t="shared" si="22"/>
        <v>31536.668604246286</v>
      </c>
      <c r="W26" s="171">
        <f t="shared" si="12"/>
        <v>31537.798386044153</v>
      </c>
      <c r="X26" s="171">
        <f t="shared" si="29"/>
        <v>31537.798560326082</v>
      </c>
      <c r="Y26" s="171">
        <f t="shared" si="30"/>
        <v>29593.388305712033</v>
      </c>
      <c r="Z26" s="171">
        <f t="shared" si="13"/>
        <v>31530.114216543017</v>
      </c>
      <c r="AA26" s="171">
        <f t="shared" si="31"/>
        <v>31537.7984088771</v>
      </c>
      <c r="AB26" s="171">
        <f t="shared" si="26"/>
        <v>31537.798236558814</v>
      </c>
      <c r="AC26" s="173">
        <f t="shared" si="14"/>
        <v>370857.73642314866</v>
      </c>
      <c r="AD26" s="171">
        <f t="shared" si="15"/>
        <v>2146.4281601866564</v>
      </c>
      <c r="AE26" s="171">
        <f t="shared" si="16"/>
        <v>4288.585476862789</v>
      </c>
      <c r="AF26" s="171">
        <f t="shared" si="17"/>
        <v>1842.2873524486279</v>
      </c>
      <c r="AG26" s="171">
        <f t="shared" si="23"/>
        <v>4824.655220403419</v>
      </c>
      <c r="AH26" s="171">
        <f t="shared" si="18"/>
        <v>1084.9858149849465</v>
      </c>
      <c r="AI26" s="180">
        <f t="shared" si="24"/>
        <v>422.9680879053459</v>
      </c>
      <c r="AJ26" s="180">
        <f t="shared" si="25"/>
        <v>0</v>
      </c>
      <c r="AK26" s="180">
        <f t="shared" si="32"/>
        <v>1151.6405721501744</v>
      </c>
      <c r="AL26" s="171">
        <f t="shared" si="33"/>
        <v>4810.157743375429</v>
      </c>
      <c r="AM26" s="171">
        <f t="shared" si="19"/>
        <v>3055.8918617315744</v>
      </c>
      <c r="AN26" s="171">
        <f t="shared" si="34"/>
        <v>3443.483014909009</v>
      </c>
      <c r="AO26" s="171">
        <f t="shared" si="27"/>
        <v>1653.8624583779585</v>
      </c>
      <c r="AP26" s="173">
        <f t="shared" si="7"/>
        <v>28724.94576333593</v>
      </c>
      <c r="AQ26" s="186">
        <f t="shared" si="8"/>
        <v>2338602.1521864845</v>
      </c>
      <c r="AS26" s="148"/>
    </row>
    <row r="27" spans="1:45" ht="12" customHeight="1">
      <c r="A27" s="10">
        <v>21</v>
      </c>
      <c r="B27" s="9" t="s">
        <v>113</v>
      </c>
      <c r="C27" s="310">
        <v>1988</v>
      </c>
      <c r="D27" s="173"/>
      <c r="E27" s="173"/>
      <c r="F27" s="173"/>
      <c r="G27" s="173"/>
      <c r="H27" s="173"/>
      <c r="I27" s="173">
        <f>29786.54</f>
        <v>29786.54</v>
      </c>
      <c r="J27" s="173">
        <f>7396.65</f>
        <v>7396.65</v>
      </c>
      <c r="K27" s="181"/>
      <c r="L27" s="173">
        <f>15557.88</f>
        <v>15557.88</v>
      </c>
      <c r="M27" s="181"/>
      <c r="N27" s="173"/>
      <c r="O27" s="173"/>
      <c r="P27" s="173">
        <f t="shared" si="9"/>
        <v>52741.07</v>
      </c>
      <c r="Q27" s="171">
        <f t="shared" si="10"/>
        <v>6736.434701089044</v>
      </c>
      <c r="R27" s="171">
        <f t="shared" si="11"/>
        <v>6736.434704105291</v>
      </c>
      <c r="S27" s="171">
        <f t="shared" si="20"/>
        <v>6257.29129886332</v>
      </c>
      <c r="T27" s="171">
        <f t="shared" si="21"/>
        <v>6736.434691469467</v>
      </c>
      <c r="U27" s="171">
        <f t="shared" si="28"/>
        <v>6010.321535099935</v>
      </c>
      <c r="V27" s="171">
        <f t="shared" si="22"/>
        <v>6736.193406292311</v>
      </c>
      <c r="W27" s="171">
        <f t="shared" si="12"/>
        <v>6736.434726286913</v>
      </c>
      <c r="X27" s="171">
        <f t="shared" si="29"/>
        <v>6736.434763513318</v>
      </c>
      <c r="Y27" s="171">
        <f t="shared" si="30"/>
        <v>6321.1111381607425</v>
      </c>
      <c r="Z27" s="171">
        <f t="shared" si="13"/>
        <v>6734.793397185988</v>
      </c>
      <c r="AA27" s="171">
        <f t="shared" si="31"/>
        <v>6736.434731164003</v>
      </c>
      <c r="AB27" s="171">
        <f t="shared" si="26"/>
        <v>6736.434694357031</v>
      </c>
      <c r="AC27" s="173">
        <f t="shared" si="14"/>
        <v>79214.75378758735</v>
      </c>
      <c r="AD27" s="171">
        <f t="shared" si="15"/>
        <v>458.4744001077743</v>
      </c>
      <c r="AE27" s="171">
        <f t="shared" si="16"/>
        <v>916.0365533242891</v>
      </c>
      <c r="AF27" s="171">
        <f t="shared" si="17"/>
        <v>393.51029976543595</v>
      </c>
      <c r="AG27" s="171">
        <f t="shared" si="23"/>
        <v>1030.5403874821236</v>
      </c>
      <c r="AH27" s="171">
        <f t="shared" si="18"/>
        <v>231.7516280663267</v>
      </c>
      <c r="AI27" s="180">
        <f t="shared" si="24"/>
        <v>90.3454604091069</v>
      </c>
      <c r="AJ27" s="180">
        <f t="shared" si="25"/>
        <v>0</v>
      </c>
      <c r="AK27" s="180">
        <f t="shared" si="32"/>
        <v>245.98900175182646</v>
      </c>
      <c r="AL27" s="171">
        <f t="shared" si="33"/>
        <v>1027.4437443208144</v>
      </c>
      <c r="AM27" s="171">
        <f t="shared" si="19"/>
        <v>652.7347218458856</v>
      </c>
      <c r="AN27" s="171">
        <f t="shared" si="34"/>
        <v>735.5237127546945</v>
      </c>
      <c r="AO27" s="171">
        <f t="shared" si="27"/>
        <v>353.26297545391157</v>
      </c>
      <c r="AP27" s="173">
        <f t="shared" si="7"/>
        <v>6135.6128852821885</v>
      </c>
      <c r="AQ27" s="186">
        <f t="shared" si="8"/>
        <v>138091.43667286955</v>
      </c>
      <c r="AS27" s="148"/>
    </row>
    <row r="28" spans="1:45" ht="12" customHeight="1">
      <c r="A28" s="10">
        <v>22</v>
      </c>
      <c r="B28" s="9" t="s">
        <v>114</v>
      </c>
      <c r="C28" s="310">
        <v>1993.9</v>
      </c>
      <c r="D28" s="173"/>
      <c r="E28" s="173"/>
      <c r="F28" s="173"/>
      <c r="G28" s="173"/>
      <c r="H28" s="173"/>
      <c r="I28" s="173">
        <f>29786.54</f>
        <v>29786.54</v>
      </c>
      <c r="J28" s="173">
        <f>7396.65+16513.34+5965.1</f>
        <v>29875.089999999997</v>
      </c>
      <c r="K28" s="173"/>
      <c r="L28" s="173">
        <f>15587.62</f>
        <v>15587.62</v>
      </c>
      <c r="M28" s="181">
        <f>27150</f>
        <v>27150</v>
      </c>
      <c r="N28" s="173"/>
      <c r="O28" s="173"/>
      <c r="P28" s="173">
        <f t="shared" si="9"/>
        <v>102399.25</v>
      </c>
      <c r="Q28" s="171">
        <f t="shared" si="10"/>
        <v>6756.427138079198</v>
      </c>
      <c r="R28" s="171">
        <f t="shared" si="11"/>
        <v>6756.427141104395</v>
      </c>
      <c r="S28" s="171">
        <f t="shared" si="20"/>
        <v>6275.861730786507</v>
      </c>
      <c r="T28" s="171">
        <f t="shared" si="21"/>
        <v>6756.427128431072</v>
      </c>
      <c r="U28" s="171">
        <f t="shared" si="28"/>
        <v>6028.159008468693</v>
      </c>
      <c r="V28" s="171">
        <f t="shared" si="22"/>
        <v>6756.185127166117</v>
      </c>
      <c r="W28" s="171">
        <f t="shared" si="12"/>
        <v>6756.42716335185</v>
      </c>
      <c r="X28" s="171">
        <f t="shared" si="29"/>
        <v>6756.427200688735</v>
      </c>
      <c r="Y28" s="171">
        <f t="shared" si="30"/>
        <v>6339.870975039589</v>
      </c>
      <c r="Z28" s="171">
        <f t="shared" si="13"/>
        <v>6754.780963103191</v>
      </c>
      <c r="AA28" s="171">
        <f t="shared" si="31"/>
        <v>6756.427168243414</v>
      </c>
      <c r="AB28" s="171">
        <f t="shared" si="26"/>
        <v>6756.427131327206</v>
      </c>
      <c r="AC28" s="173">
        <f t="shared" si="14"/>
        <v>79449.84787578996</v>
      </c>
      <c r="AD28" s="171">
        <f t="shared" si="15"/>
        <v>459.83506356885874</v>
      </c>
      <c r="AE28" s="171">
        <f t="shared" si="16"/>
        <v>918.7551728738933</v>
      </c>
      <c r="AF28" s="171">
        <f t="shared" si="17"/>
        <v>394.678162325102</v>
      </c>
      <c r="AG28" s="171">
        <f t="shared" si="23"/>
        <v>1033.5988322940675</v>
      </c>
      <c r="AH28" s="171">
        <f t="shared" si="18"/>
        <v>232.43942213352557</v>
      </c>
      <c r="AI28" s="180">
        <f t="shared" si="24"/>
        <v>90.61358828456655</v>
      </c>
      <c r="AJ28" s="180">
        <f t="shared" si="25"/>
        <v>0</v>
      </c>
      <c r="AK28" s="180">
        <f t="shared" si="32"/>
        <v>246.7190495940477</v>
      </c>
      <c r="AL28" s="171">
        <f t="shared" si="33"/>
        <v>1030.4929988939998</v>
      </c>
      <c r="AM28" s="171">
        <f t="shared" si="19"/>
        <v>654.6719124187682</v>
      </c>
      <c r="AN28" s="171">
        <f t="shared" si="34"/>
        <v>737.7066050611596</v>
      </c>
      <c r="AO28" s="171">
        <f t="shared" si="27"/>
        <v>354.31139172915204</v>
      </c>
      <c r="AP28" s="173">
        <f t="shared" si="7"/>
        <v>6153.822199177141</v>
      </c>
      <c r="AQ28" s="186">
        <f t="shared" si="8"/>
        <v>188002.9200749671</v>
      </c>
      <c r="AS28" s="148"/>
    </row>
    <row r="29" spans="1:45" ht="12" customHeight="1">
      <c r="A29" s="10">
        <v>23</v>
      </c>
      <c r="B29" s="9" t="s">
        <v>115</v>
      </c>
      <c r="C29" s="310">
        <v>1632.8</v>
      </c>
      <c r="D29" s="173"/>
      <c r="E29" s="173"/>
      <c r="F29" s="173"/>
      <c r="G29" s="173"/>
      <c r="H29" s="173"/>
      <c r="I29" s="173">
        <f>29786.54+2663.25</f>
        <v>32449.79</v>
      </c>
      <c r="J29" s="173">
        <f>58006+7396.65</f>
        <v>65402.65</v>
      </c>
      <c r="K29" s="173">
        <f>24390</f>
        <v>24390</v>
      </c>
      <c r="L29" s="173">
        <f>12782.82</f>
        <v>12782.82</v>
      </c>
      <c r="M29" s="181">
        <f>3961.75</f>
        <v>3961.75</v>
      </c>
      <c r="N29" s="173">
        <f>9422.1</f>
        <v>9422.1</v>
      </c>
      <c r="O29" s="173"/>
      <c r="P29" s="173">
        <f t="shared" si="9"/>
        <v>148409.11000000002</v>
      </c>
      <c r="Q29" s="171">
        <f t="shared" si="10"/>
        <v>5532.822223308948</v>
      </c>
      <c r="R29" s="171">
        <f t="shared" si="11"/>
        <v>5532.822225786276</v>
      </c>
      <c r="S29" s="171">
        <f t="shared" si="20"/>
        <v>5139.288346470839</v>
      </c>
      <c r="T29" s="171">
        <f t="shared" si="21"/>
        <v>5532.82221540812</v>
      </c>
      <c r="U29" s="171">
        <f t="shared" si="28"/>
        <v>4936.445172289323</v>
      </c>
      <c r="V29" s="171">
        <f t="shared" si="22"/>
        <v>5532.624041143907</v>
      </c>
      <c r="W29" s="171">
        <f t="shared" si="12"/>
        <v>5532.822244004664</v>
      </c>
      <c r="X29" s="171">
        <f t="shared" si="29"/>
        <v>5532.822274579752</v>
      </c>
      <c r="Y29" s="171">
        <f t="shared" si="30"/>
        <v>5191.70536538675</v>
      </c>
      <c r="Z29" s="171">
        <f t="shared" si="13"/>
        <v>5531.474174509699</v>
      </c>
      <c r="AA29" s="171">
        <f t="shared" si="31"/>
        <v>5532.822248010354</v>
      </c>
      <c r="AB29" s="171">
        <f t="shared" si="26"/>
        <v>5532.822217779759</v>
      </c>
      <c r="AC29" s="173">
        <f t="shared" si="14"/>
        <v>65061.29274867839</v>
      </c>
      <c r="AD29" s="171">
        <f t="shared" si="15"/>
        <v>376.5578473319788</v>
      </c>
      <c r="AE29" s="171">
        <f t="shared" si="16"/>
        <v>752.3664407786213</v>
      </c>
      <c r="AF29" s="171">
        <f t="shared" si="17"/>
        <v>323.20101481740636</v>
      </c>
      <c r="AG29" s="171">
        <f t="shared" si="23"/>
        <v>846.4116421935671</v>
      </c>
      <c r="AH29" s="171">
        <f t="shared" si="18"/>
        <v>190.34409371564297</v>
      </c>
      <c r="AI29" s="180">
        <f t="shared" si="24"/>
        <v>74.20325339838519</v>
      </c>
      <c r="AJ29" s="180">
        <f t="shared" si="25"/>
        <v>0</v>
      </c>
      <c r="AK29" s="180">
        <f t="shared" si="32"/>
        <v>202.03764691166108</v>
      </c>
      <c r="AL29" s="171">
        <f t="shared" si="33"/>
        <v>843.868282558866</v>
      </c>
      <c r="AM29" s="171">
        <f t="shared" si="19"/>
        <v>536.1092826106448</v>
      </c>
      <c r="AN29" s="171">
        <f t="shared" si="34"/>
        <v>604.1061962705559</v>
      </c>
      <c r="AO29" s="171">
        <f t="shared" si="27"/>
        <v>290.14476173095915</v>
      </c>
      <c r="AP29" s="173">
        <f t="shared" si="7"/>
        <v>5039.35046231829</v>
      </c>
      <c r="AQ29" s="186">
        <f t="shared" si="8"/>
        <v>218509.75321099669</v>
      </c>
      <c r="AS29" s="148"/>
    </row>
    <row r="30" spans="1:45" ht="12" customHeight="1">
      <c r="A30" s="63">
        <v>23</v>
      </c>
      <c r="B30" s="64" t="s">
        <v>29</v>
      </c>
      <c r="C30" s="174">
        <f aca="true" t="shared" si="35" ref="C30:AQ30">SUM(C7:C29)</f>
        <v>104136.78999999998</v>
      </c>
      <c r="D30" s="175">
        <f t="shared" si="35"/>
        <v>306473.43</v>
      </c>
      <c r="E30" s="175">
        <f t="shared" si="35"/>
        <v>27422.050000000003</v>
      </c>
      <c r="F30" s="175">
        <f t="shared" si="35"/>
        <v>301072.78</v>
      </c>
      <c r="G30" s="175">
        <f t="shared" si="35"/>
        <v>109436.04999999999</v>
      </c>
      <c r="H30" s="175">
        <f t="shared" si="35"/>
        <v>614583.9600000001</v>
      </c>
      <c r="I30" s="175">
        <f t="shared" si="35"/>
        <v>2294965.5199999996</v>
      </c>
      <c r="J30" s="175">
        <f t="shared" si="35"/>
        <v>968359.67</v>
      </c>
      <c r="K30" s="175">
        <f t="shared" si="35"/>
        <v>1396034.33</v>
      </c>
      <c r="L30" s="175">
        <f t="shared" si="35"/>
        <v>1448556.07</v>
      </c>
      <c r="M30" s="175">
        <f t="shared" si="35"/>
        <v>1049246.71</v>
      </c>
      <c r="N30" s="175">
        <f t="shared" si="35"/>
        <v>273972.1</v>
      </c>
      <c r="O30" s="175">
        <f t="shared" si="35"/>
        <v>44145.259999999995</v>
      </c>
      <c r="P30" s="175">
        <f t="shared" si="35"/>
        <v>8834267.929999998</v>
      </c>
      <c r="Q30" s="175">
        <f t="shared" si="35"/>
        <v>352872.578378281</v>
      </c>
      <c r="R30" s="175">
        <f t="shared" si="35"/>
        <v>352872.5785362801</v>
      </c>
      <c r="S30" s="175">
        <f t="shared" si="35"/>
        <v>331644.60053455643</v>
      </c>
      <c r="T30" s="175">
        <f t="shared" si="35"/>
        <v>352872.5778785291</v>
      </c>
      <c r="U30" s="175">
        <f t="shared" si="35"/>
        <v>325506.69918276434</v>
      </c>
      <c r="V30" s="175">
        <f t="shared" si="35"/>
        <v>352861.8882899532</v>
      </c>
      <c r="W30" s="175">
        <f t="shared" si="35"/>
        <v>352872.57969821314</v>
      </c>
      <c r="X30" s="175">
        <f t="shared" si="35"/>
        <v>352872.5816452056</v>
      </c>
      <c r="Y30" s="175">
        <f t="shared" si="35"/>
        <v>337219.792038209</v>
      </c>
      <c r="Z30" s="175">
        <f t="shared" si="35"/>
        <v>352786.602462849</v>
      </c>
      <c r="AA30" s="175">
        <f t="shared" si="35"/>
        <v>352872.5804703364</v>
      </c>
      <c r="AB30" s="175">
        <f t="shared" si="35"/>
        <v>352872.5781061049</v>
      </c>
      <c r="AC30" s="175">
        <f t="shared" si="35"/>
        <v>4170127.6372212823</v>
      </c>
      <c r="AD30" s="175">
        <f aca="true" t="shared" si="36" ref="AD30:AP30">SUM(AD7:AD29)</f>
        <v>24016.122899597216</v>
      </c>
      <c r="AE30" s="175">
        <f t="shared" si="36"/>
        <v>47984.459852039894</v>
      </c>
      <c r="AF30" s="175">
        <f t="shared" si="36"/>
        <v>20613.128495729503</v>
      </c>
      <c r="AG30" s="175">
        <f t="shared" si="36"/>
        <v>50512.72548521761</v>
      </c>
      <c r="AH30" s="179">
        <f>SUM(AH7:AH29)</f>
        <v>12139.773955785298</v>
      </c>
      <c r="AI30" s="179">
        <f t="shared" si="36"/>
        <v>5773.569043273412</v>
      </c>
      <c r="AJ30" s="175">
        <f>SUM(AJ8:AJ29)</f>
        <v>0</v>
      </c>
      <c r="AK30" s="175">
        <f t="shared" si="36"/>
        <v>15675.253624806473</v>
      </c>
      <c r="AL30" s="175">
        <f t="shared" si="36"/>
        <v>60292.2049568458</v>
      </c>
      <c r="AM30" s="175">
        <f t="shared" si="36"/>
        <v>34192.00133529849</v>
      </c>
      <c r="AN30" s="175">
        <f t="shared" si="36"/>
        <v>36621.32951357287</v>
      </c>
      <c r="AO30" s="175">
        <f t="shared" si="36"/>
        <v>18421.064778331292</v>
      </c>
      <c r="AP30" s="175">
        <f t="shared" si="36"/>
        <v>326241.6339404978</v>
      </c>
      <c r="AQ30" s="175">
        <f t="shared" si="35"/>
        <v>13330637.201161781</v>
      </c>
      <c r="AS30" s="148"/>
    </row>
    <row r="31" spans="1:42" ht="12.75">
      <c r="A31" s="66"/>
      <c r="B31" s="67"/>
      <c r="C31" s="66"/>
      <c r="D31" s="135"/>
      <c r="E31" s="135"/>
      <c r="F31" s="135"/>
      <c r="G31" s="135"/>
      <c r="H31" s="135"/>
      <c r="I31" s="135"/>
      <c r="J31" s="135"/>
      <c r="K31" s="135"/>
      <c r="L31" s="135"/>
      <c r="M31" s="135"/>
      <c r="N31" s="135"/>
      <c r="O31" s="135"/>
      <c r="P31" s="286"/>
      <c r="Q31" s="286"/>
      <c r="R31" s="286"/>
      <c r="S31" s="286"/>
      <c r="T31" s="286"/>
      <c r="U31" s="286"/>
      <c r="V31" s="286"/>
      <c r="W31" s="286"/>
      <c r="X31" s="286"/>
      <c r="Y31" s="286"/>
      <c r="Z31" s="286"/>
      <c r="AA31" s="286"/>
      <c r="AB31" s="286"/>
      <c r="AC31" s="68"/>
      <c r="AD31" s="286"/>
      <c r="AE31" s="286"/>
      <c r="AF31" s="286"/>
      <c r="AG31" s="286"/>
      <c r="AH31" s="286"/>
      <c r="AI31" s="286"/>
      <c r="AJ31" s="286"/>
      <c r="AK31" s="286"/>
      <c r="AL31" s="286"/>
      <c r="AM31" s="286"/>
      <c r="AN31" s="286"/>
      <c r="AO31" s="286"/>
      <c r="AP31" s="68"/>
    </row>
    <row r="32" spans="1:43" ht="12.75">
      <c r="A32" s="66"/>
      <c r="B32" s="67"/>
      <c r="C32" s="66"/>
      <c r="D32" s="409"/>
      <c r="E32" s="410"/>
      <c r="F32" s="409"/>
      <c r="G32" s="409"/>
      <c r="H32" s="410"/>
      <c r="I32" s="135"/>
      <c r="J32" s="135"/>
      <c r="K32" s="135"/>
      <c r="L32" s="135"/>
      <c r="M32" s="135"/>
      <c r="N32" s="409"/>
      <c r="O32" s="409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135"/>
      <c r="AE32" s="135"/>
      <c r="AF32" s="135"/>
      <c r="AG32" s="135"/>
      <c r="AH32" s="135"/>
      <c r="AI32" s="135"/>
      <c r="AJ32" s="135"/>
      <c r="AK32" s="135"/>
      <c r="AL32" s="135"/>
      <c r="AM32" s="135"/>
      <c r="AN32" s="135"/>
      <c r="AO32" s="135"/>
      <c r="AP32" s="68"/>
      <c r="AQ32" s="147"/>
    </row>
    <row r="33" spans="1:16" ht="12.75">
      <c r="A33" s="24" t="s">
        <v>74</v>
      </c>
      <c r="J33" s="426"/>
      <c r="P33" s="138"/>
    </row>
    <row r="34" spans="1:10" ht="12.75">
      <c r="A34" s="24" t="s">
        <v>75</v>
      </c>
      <c r="J34" s="427"/>
    </row>
    <row r="35" ht="12.75">
      <c r="A35" s="24" t="s">
        <v>76</v>
      </c>
    </row>
    <row r="36" ht="12.75">
      <c r="A36" s="24" t="s">
        <v>77</v>
      </c>
    </row>
    <row r="37" ht="12.75">
      <c r="A37" s="24" t="s">
        <v>78</v>
      </c>
    </row>
    <row r="38" ht="12.75">
      <c r="A38" s="24"/>
    </row>
    <row r="39" spans="1:2" ht="12.75">
      <c r="A39" s="24" t="s">
        <v>79</v>
      </c>
      <c r="B39" s="69"/>
    </row>
    <row r="40" ht="12.75">
      <c r="A40" s="24" t="s">
        <v>80</v>
      </c>
    </row>
    <row r="41" ht="12.75">
      <c r="A41" s="24" t="s">
        <v>81</v>
      </c>
    </row>
    <row r="42" ht="12.75">
      <c r="A42" s="24" t="s">
        <v>82</v>
      </c>
    </row>
    <row r="43" ht="12.75">
      <c r="A43" s="24"/>
    </row>
    <row r="44" ht="12.75">
      <c r="A44" s="24" t="s">
        <v>83</v>
      </c>
    </row>
  </sheetData>
  <sheetProtection/>
  <mergeCells count="6">
    <mergeCell ref="A2:AQ2"/>
    <mergeCell ref="A3:AC3"/>
    <mergeCell ref="D5:P5"/>
    <mergeCell ref="Q5:AC5"/>
    <mergeCell ref="AD5:AP5"/>
    <mergeCell ref="A4:AQ4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Windows User</cp:lastModifiedBy>
  <cp:lastPrinted>2018-02-09T03:59:07Z</cp:lastPrinted>
  <dcterms:created xsi:type="dcterms:W3CDTF">1996-10-08T23:32:33Z</dcterms:created>
  <dcterms:modified xsi:type="dcterms:W3CDTF">2019-01-16T05:34:48Z</dcterms:modified>
  <cp:category/>
  <cp:version/>
  <cp:contentType/>
  <cp:contentStatus/>
</cp:coreProperties>
</file>