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76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(8)'!$A$1:$C$17</definedName>
    <definedName name="_xlnm._FilterDatabase" localSheetId="0" hidden="1">'ж-ф 08 (9)'!$A$1:$C$44</definedName>
    <definedName name="SHARED_FORMULA_15_35_15_35_1">SUM(#REF!)</definedName>
    <definedName name="SHARED_FORMULA_15_5_15_5_1">SUM(#REF!)</definedName>
    <definedName name="SHARED_FORMULA_2_15_2_15_1">SUM(#REF!)</definedName>
    <definedName name="SHARED_FORMULA_2_45_2_45_1">SUM(#REF!)</definedName>
    <definedName name="SHARED_FORMULA_28_35_28_35_1">SUM(#REF!)</definedName>
    <definedName name="SHARED_FORMULA_28_5_28_5_1">SUM(#REF!)</definedName>
    <definedName name="SHARED_FORMULA_41_35_41_35_1">SUM(#REF!)</definedName>
    <definedName name="SHARED_FORMULA_41_5_41_5_1">SUM(#REF!)</definedName>
    <definedName name="SHARED_FORMULA_43_35_43_35_1">SUM(#REF!,#REF!,#REF!)</definedName>
    <definedName name="SHARED_FORMULA_43_6_43_6_1">#REF!+#REF!+#REF!+#REF!</definedName>
    <definedName name="_xlnm.Print_Area" localSheetId="1">'ж-ф 08 (8)'!$A$2:$AS$31</definedName>
    <definedName name="_xlnm.Print_Area" localSheetId="0">'ж-ф 08 (9)'!$A$1:$CB$44</definedName>
  </definedNames>
  <calcPr fullCalcOnLoad="1"/>
</workbook>
</file>

<file path=xl/sharedStrings.xml><?xml version="1.0" encoding="utf-8"?>
<sst xmlns="http://schemas.openxmlformats.org/spreadsheetml/2006/main" count="346" uniqueCount="141">
  <si>
    <t>№</t>
  </si>
  <si>
    <t xml:space="preserve">Адрес дома </t>
  </si>
  <si>
    <t>Общая площадь,кв.м.</t>
  </si>
  <si>
    <t>Замена задвижки</t>
  </si>
  <si>
    <t>Косметический ремонт подъезда</t>
  </si>
  <si>
    <t>Промывка системы отопления</t>
  </si>
  <si>
    <t>Замена общедомовых вентилей и сборок в техэтажах, галереях, чердаках, подъездах и эл.узлах</t>
  </si>
  <si>
    <t>Замена общедомовых трубопроводов ХГВС, ЦО и КНС на черную трубу в техэтажах, галереях, чердаках, подъездах и эл.узлах</t>
  </si>
  <si>
    <t>Квартал 130</t>
  </si>
  <si>
    <t>подъезд</t>
  </si>
  <si>
    <t>диаметр</t>
  </si>
  <si>
    <t>квартира</t>
  </si>
  <si>
    <t xml:space="preserve">диаметр </t>
  </si>
  <si>
    <t>кол-во, м</t>
  </si>
  <si>
    <t>Лермонтова 35/1</t>
  </si>
  <si>
    <t>Лермонтова 35/2</t>
  </si>
  <si>
    <t>Лермонтова 35/3</t>
  </si>
  <si>
    <t>Лермонтова 58/2</t>
  </si>
  <si>
    <t>П Алексеева 21</t>
  </si>
  <si>
    <t>П Алексеева 21/1</t>
  </si>
  <si>
    <t>П Алексеева 21/2</t>
  </si>
  <si>
    <t>П Алексеева 21/3</t>
  </si>
  <si>
    <t>П Алексеева 21/4</t>
  </si>
  <si>
    <t>П Алексеева 27/1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</si>
  <si>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</si>
  <si>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</si>
  <si>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</si>
  <si>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</si>
  <si>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</si>
  <si>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</si>
  <si>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</si>
  <si>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</si>
  <si>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</si>
  <si>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</si>
  <si>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</si>
  <si>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</si>
  <si>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</si>
  <si>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</si>
  <si>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</si>
  <si>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</si>
  <si>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</si>
  <si>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</si>
  <si>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</si>
  <si>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</si>
  <si>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</si>
  <si>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</si>
  <si>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</si>
  <si>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</si>
  <si>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</si>
  <si>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</si>
  <si>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</si>
  <si>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</si>
  <si>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</si>
  <si>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</si>
  <si>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</si>
  <si>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дворовой территории</t>
  </si>
  <si>
    <t>Уборка лестничной клетки</t>
  </si>
  <si>
    <t>Уборка мусоропровода</t>
  </si>
  <si>
    <t>Оформления тех. Поспартов МКД</t>
  </si>
  <si>
    <t>всего</t>
  </si>
  <si>
    <t>Ремонт кровли</t>
  </si>
  <si>
    <t>кол-во, шт</t>
  </si>
  <si>
    <t>Сброс снега с крыши</t>
  </si>
  <si>
    <t>Установка греющего кабеля</t>
  </si>
  <si>
    <t>Утепление межпанельных швов</t>
  </si>
  <si>
    <t>Квартал 130, 136</t>
  </si>
  <si>
    <t>Пояркова 6</t>
  </si>
  <si>
    <t>м</t>
  </si>
  <si>
    <t>Установка регистров</t>
  </si>
  <si>
    <t>Утепление вентканала</t>
  </si>
  <si>
    <t>Промывка центральной канализации</t>
  </si>
  <si>
    <t xml:space="preserve">Установка входных дверей </t>
  </si>
  <si>
    <t>Ревизия запорной арматуры с заменой</t>
  </si>
  <si>
    <t>Ревизия задвижек и грязевиков</t>
  </si>
  <si>
    <t>Ревизия вентилей д=15-50</t>
  </si>
  <si>
    <t>Ремонт кровли балкона</t>
  </si>
  <si>
    <t>Замена труб отопления на ППРС</t>
  </si>
  <si>
    <t>Замена трубопроводов ХГВС  на ППРС</t>
  </si>
  <si>
    <t>Замена трубопроводов КНС на ПВХ</t>
  </si>
  <si>
    <t>Утепление трубопроводов ХГВС, КНС, отопления</t>
  </si>
  <si>
    <t>Генеральная уборка в подъездах</t>
  </si>
  <si>
    <t>Мытье окон, мытье фасада, уборка под домом</t>
  </si>
  <si>
    <t>Смена вентилей, сгонов, отводов</t>
  </si>
  <si>
    <t>кол-во, м3</t>
  </si>
  <si>
    <t>кол-во, м2</t>
  </si>
  <si>
    <t>пог. м.</t>
  </si>
  <si>
    <t>Ремонт, утепление входных дверей</t>
  </si>
  <si>
    <t>Ремонт чердачного люка</t>
  </si>
  <si>
    <t>Установка доводчика, пружины</t>
  </si>
  <si>
    <t>Ремонт крыльца</t>
  </si>
  <si>
    <t>Ремонт подъезда</t>
  </si>
  <si>
    <t>Установка фильтров</t>
  </si>
  <si>
    <t>Устройство ограждения цоколя</t>
  </si>
  <si>
    <t>Ревизия эл/узла</t>
  </si>
  <si>
    <t>Замена стекол</t>
  </si>
  <si>
    <t>Установка ПУ</t>
  </si>
  <si>
    <t>Утепление перекрытия</t>
  </si>
  <si>
    <t>Утепление т/э</t>
  </si>
  <si>
    <t>Устройство сан/точки</t>
  </si>
  <si>
    <t>Установка обратного клапана</t>
  </si>
  <si>
    <t>Усиление фундамента</t>
  </si>
  <si>
    <t>Установка почтовых ящиков</t>
  </si>
  <si>
    <t>д=110</t>
  </si>
  <si>
    <t>кв.91</t>
  </si>
  <si>
    <t>да</t>
  </si>
  <si>
    <t>Установка радиатора</t>
  </si>
  <si>
    <t>Кол-во, шт</t>
  </si>
  <si>
    <t>кв.10,13</t>
  </si>
  <si>
    <t>д=25</t>
  </si>
  <si>
    <t>кв.336-340 (п/суш)</t>
  </si>
  <si>
    <t>п.1</t>
  </si>
  <si>
    <t>д=50</t>
  </si>
  <si>
    <t>кв.41</t>
  </si>
  <si>
    <t>кв.80</t>
  </si>
  <si>
    <t>кв.501-505, 517</t>
  </si>
  <si>
    <t>Покраска фасада теплоизоляционной краскрй</t>
  </si>
  <si>
    <t>кв.26</t>
  </si>
  <si>
    <t>кв.27</t>
  </si>
  <si>
    <t>кв.39</t>
  </si>
  <si>
    <t>Установка пласстиковых окон</t>
  </si>
  <si>
    <t>п.3</t>
  </si>
  <si>
    <t>кв.140</t>
  </si>
  <si>
    <t>кв.105,430</t>
  </si>
  <si>
    <t>кв.101-104 (санузел)</t>
  </si>
  <si>
    <t>Выполнение по техническому обслуживанию ООО "Вита-2" за 2018 год</t>
  </si>
  <si>
    <t>Уборка и вывоз снега с придомовой территории</t>
  </si>
  <si>
    <t xml:space="preserve">д=50 </t>
  </si>
  <si>
    <t xml:space="preserve">д=80 </t>
  </si>
  <si>
    <t>э/у</t>
  </si>
  <si>
    <t>кв.113,114</t>
  </si>
  <si>
    <t>д=20</t>
  </si>
  <si>
    <t>кв.108</t>
  </si>
  <si>
    <t>магистр.</t>
  </si>
  <si>
    <t>д=32</t>
  </si>
  <si>
    <t>Проведение испытаний и электрических испытаний в электроустановках</t>
  </si>
  <si>
    <t>кв.67</t>
  </si>
  <si>
    <t>п.1,2,3,4</t>
  </si>
  <si>
    <t>кв.99,118,119</t>
  </si>
  <si>
    <t>Утепление наружных стен</t>
  </si>
  <si>
    <t>п.2,3</t>
  </si>
  <si>
    <t>Поверка ПУ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</si>
</sst>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 * #,##0.00\ ;\ * \(#,##0.00\);\ * \-#\ ;@\ "/>
    <numFmt numFmtId="181" formatCode="#,##0.0000"/>
    <numFmt numFmtId="182" formatCode="#,##0.000"/>
    <numFmt numFmtId="183" formatCode="_(* #,##0.00_);_(* \(#,##0.00\);_(* \-??_);_(@_)"/>
    <numFmt numFmtId="184" formatCode="_(* #,##0.00_);_(* \(#,##0.00\);_(* &quot;-&quot;??_);_(@_)"/>
    <numFmt numFmtId="185" formatCode="#,##0.00&quot;р.&quot;"/>
  </numFmts>
  <fonts count="46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CCE5"/>
        <bgColor indexed="64"/>
      </patternFill>
    </fill>
    <fill>
      <patternFill patternType="solid">
        <fgColor rgb="FF61CCE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0" fontId="1" fillId="0" borderId="10" xfId="58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180" fontId="1" fillId="0" borderId="0" xfId="58" applyFont="1" applyFill="1" applyBorder="1" applyAlignment="1" applyProtection="1">
      <alignment/>
      <protection/>
    </xf>
    <xf numFmtId="18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0" fontId="6" fillId="0" borderId="0" xfId="58" applyFont="1" applyFill="1" applyBorder="1" applyAlignment="1" applyProtection="1">
      <alignment horizontal="center"/>
      <protection/>
    </xf>
    <xf numFmtId="180" fontId="5" fillId="0" borderId="0" xfId="58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 horizontal="center" vertical="center" wrapText="1"/>
    </xf>
    <xf numFmtId="180" fontId="10" fillId="0" borderId="10" xfId="58" applyFont="1" applyFill="1" applyBorder="1" applyAlignment="1" applyProtection="1">
      <alignment/>
      <protection/>
    </xf>
    <xf numFmtId="180" fontId="5" fillId="0" borderId="0" xfId="58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1" fillId="33" borderId="10" xfId="58" applyNumberFormat="1" applyFont="1" applyFill="1" applyBorder="1" applyAlignment="1" applyProtection="1">
      <alignment horizontal="center"/>
      <protection/>
    </xf>
    <xf numFmtId="180" fontId="6" fillId="33" borderId="10" xfId="58" applyFont="1" applyFill="1" applyBorder="1" applyAlignment="1" applyProtection="1">
      <alignment/>
      <protection/>
    </xf>
    <xf numFmtId="180" fontId="1" fillId="33" borderId="10" xfId="58" applyNumberFormat="1" applyFont="1" applyFill="1" applyBorder="1" applyAlignment="1">
      <alignment/>
    </xf>
    <xf numFmtId="180" fontId="1" fillId="33" borderId="10" xfId="58" applyFont="1" applyFill="1" applyBorder="1" applyAlignment="1" applyProtection="1">
      <alignment/>
      <protection/>
    </xf>
    <xf numFmtId="180" fontId="1" fillId="33" borderId="10" xfId="58" applyNumberFormat="1" applyFont="1" applyFill="1" applyBorder="1" applyAlignment="1">
      <alignment horizontal="center"/>
    </xf>
    <xf numFmtId="180" fontId="1" fillId="33" borderId="17" xfId="58" applyFont="1" applyFill="1" applyBorder="1" applyAlignment="1">
      <alignment/>
    </xf>
    <xf numFmtId="4" fontId="1" fillId="33" borderId="10" xfId="58" applyNumberFormat="1" applyFont="1" applyFill="1" applyBorder="1" applyAlignment="1" applyProtection="1">
      <alignment horizontal="right" vertical="center"/>
      <protection/>
    </xf>
    <xf numFmtId="180" fontId="1" fillId="33" borderId="10" xfId="58" applyFont="1" applyFill="1" applyBorder="1" applyAlignment="1" applyProtection="1">
      <alignment horizontal="right" vertical="center"/>
      <protection/>
    </xf>
    <xf numFmtId="180" fontId="1" fillId="33" borderId="10" xfId="58" applyFont="1" applyFill="1" applyBorder="1" applyAlignment="1" applyProtection="1">
      <alignment horizontal="center"/>
      <protection/>
    </xf>
    <xf numFmtId="180" fontId="1" fillId="33" borderId="10" xfId="58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0" fontId="1" fillId="33" borderId="10" xfId="58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U44"/>
  <sheetViews>
    <sheetView tabSelected="1" zoomScale="70" zoomScaleNormal="70" zoomScalePageLayoutView="0" workbookViewId="0" topLeftCell="A1">
      <pane xSplit="3" ySplit="5" topLeftCell="AU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B9" sqref="CB9:CB12"/>
    </sheetView>
  </sheetViews>
  <sheetFormatPr defaultColWidth="9.140625" defaultRowHeight="12.75" customHeight="1"/>
  <cols>
    <col min="1" max="1" width="6.28125" style="1" customWidth="1"/>
    <col min="2" max="2" width="19.7109375" style="1" customWidth="1"/>
    <col min="3" max="3" width="9.140625" style="1" customWidth="1"/>
    <col min="4" max="4" width="7.7109375" style="1" hidden="1" customWidth="1"/>
    <col min="5" max="5" width="7.140625" style="1" hidden="1" customWidth="1"/>
    <col min="6" max="6" width="7.57421875" style="1" hidden="1" customWidth="1"/>
    <col min="7" max="8" width="7.57421875" style="1" customWidth="1"/>
    <col min="9" max="9" width="7.7109375" style="1" customWidth="1"/>
    <col min="10" max="10" width="7.00390625" style="1" customWidth="1"/>
    <col min="11" max="11" width="7.00390625" style="1" hidden="1" customWidth="1"/>
    <col min="12" max="12" width="7.8515625" style="1" hidden="1" customWidth="1"/>
    <col min="13" max="13" width="8.57421875" style="1" hidden="1" customWidth="1"/>
    <col min="14" max="14" width="7.00390625" style="1" hidden="1" customWidth="1"/>
    <col min="15" max="15" width="6.8515625" style="52" hidden="1" customWidth="1"/>
    <col min="16" max="16" width="8.00390625" style="56" hidden="1" customWidth="1"/>
    <col min="17" max="17" width="11.28125" style="1" customWidth="1"/>
    <col min="18" max="18" width="7.8515625" style="1" customWidth="1"/>
    <col min="19" max="19" width="9.00390625" style="1" customWidth="1"/>
    <col min="20" max="20" width="9.57421875" style="1" customWidth="1"/>
    <col min="21" max="21" width="12.00390625" style="1" hidden="1" customWidth="1"/>
    <col min="22" max="23" width="9.421875" style="1" customWidth="1"/>
    <col min="24" max="25" width="9.421875" style="1" hidden="1" customWidth="1"/>
    <col min="26" max="26" width="9.421875" style="1" customWidth="1"/>
    <col min="27" max="29" width="8.7109375" style="1" hidden="1" customWidth="1"/>
    <col min="30" max="30" width="8.140625" style="1" customWidth="1"/>
    <col min="31" max="31" width="10.28125" style="1" customWidth="1"/>
    <col min="32" max="32" width="8.140625" style="1" hidden="1" customWidth="1"/>
    <col min="33" max="33" width="9.421875" style="1" hidden="1" customWidth="1"/>
    <col min="34" max="34" width="9.8515625" style="1" customWidth="1"/>
    <col min="35" max="35" width="7.421875" style="1" customWidth="1"/>
    <col min="36" max="36" width="9.00390625" style="1" customWidth="1"/>
    <col min="37" max="37" width="9.140625" style="2" hidden="1" customWidth="1"/>
    <col min="38" max="38" width="7.7109375" style="2" hidden="1" customWidth="1"/>
    <col min="39" max="39" width="8.28125" style="1" hidden="1" customWidth="1"/>
    <col min="40" max="40" width="7.7109375" style="1" hidden="1" customWidth="1"/>
    <col min="41" max="41" width="8.8515625" style="1" hidden="1" customWidth="1"/>
    <col min="42" max="43" width="7.421875" style="1" customWidth="1"/>
    <col min="44" max="44" width="8.7109375" style="1" customWidth="1"/>
    <col min="45" max="45" width="7.7109375" style="3" customWidth="1"/>
    <col min="46" max="46" width="7.00390625" style="1" customWidth="1"/>
    <col min="47" max="47" width="10.28125" style="1" customWidth="1"/>
    <col min="48" max="48" width="0" style="2" hidden="1" customWidth="1"/>
    <col min="49" max="49" width="6.7109375" style="2" hidden="1" customWidth="1"/>
    <col min="50" max="50" width="13.421875" style="1" customWidth="1"/>
    <col min="51" max="52" width="13.421875" style="1" hidden="1" customWidth="1"/>
    <col min="53" max="53" width="13.421875" style="1" customWidth="1"/>
    <col min="54" max="54" width="9.140625" style="2" customWidth="1"/>
    <col min="55" max="55" width="7.7109375" style="1" hidden="1" customWidth="1"/>
    <col min="56" max="56" width="7.57421875" style="1" hidden="1" customWidth="1"/>
    <col min="57" max="58" width="9.421875" style="1" customWidth="1"/>
    <col min="59" max="59" width="7.140625" style="1" hidden="1" customWidth="1"/>
    <col min="60" max="60" width="9.421875" style="1" hidden="1" customWidth="1"/>
    <col min="61" max="61" width="7.28125" style="1" hidden="1" customWidth="1"/>
    <col min="62" max="62" width="9.421875" style="1" hidden="1" customWidth="1"/>
    <col min="63" max="63" width="8.00390625" style="1" hidden="1" customWidth="1"/>
    <col min="64" max="64" width="9.421875" style="1" hidden="1" customWidth="1"/>
    <col min="65" max="66" width="9.421875" style="1" customWidth="1"/>
    <col min="67" max="67" width="6.7109375" style="1" hidden="1" customWidth="1"/>
    <col min="68" max="68" width="8.140625" style="1" hidden="1" customWidth="1"/>
    <col min="69" max="69" width="8.140625" style="1" customWidth="1"/>
    <col min="70" max="70" width="9.140625" style="1" customWidth="1"/>
    <col min="71" max="71" width="14.7109375" style="1" customWidth="1"/>
    <col min="72" max="73" width="10.28125" style="1" hidden="1" customWidth="1"/>
    <col min="74" max="74" width="10.421875" style="2" hidden="1" customWidth="1"/>
    <col min="75" max="75" width="10.421875" style="2" customWidth="1"/>
    <col min="76" max="76" width="7.00390625" style="2" customWidth="1"/>
    <col min="77" max="77" width="8.140625" style="2" customWidth="1"/>
    <col min="78" max="79" width="10.421875" style="2" hidden="1" customWidth="1"/>
    <col min="80" max="80" width="7.57421875" style="58" customWidth="1"/>
    <col min="81" max="84" width="9.140625" style="52" customWidth="1"/>
    <col min="85" max="16384" width="9.140625" style="2" customWidth="1"/>
  </cols>
  <sheetData>
    <row r="1" spans="1:7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M1" s="4"/>
      <c r="AN1" s="4"/>
      <c r="AO1" s="4"/>
      <c r="AP1" s="4"/>
      <c r="AQ1" s="4"/>
      <c r="AR1" s="4"/>
      <c r="AS1" s="4"/>
      <c r="AT1" s="4"/>
      <c r="AU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A2" s="157"/>
      <c r="B2" s="157"/>
      <c r="C2" s="157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M2" s="4"/>
      <c r="AN2" s="4"/>
      <c r="AO2" s="4"/>
      <c r="AP2" s="4"/>
      <c r="AQ2" s="4"/>
      <c r="AR2" s="4"/>
      <c r="AS2" s="4"/>
      <c r="AT2" s="4"/>
      <c r="AU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2.75" customHeight="1">
      <c r="A3" s="158"/>
      <c r="B3" s="158"/>
      <c r="C3" s="158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M3" s="4"/>
      <c r="AN3" s="4"/>
      <c r="AO3" s="4"/>
      <c r="AP3" s="4"/>
      <c r="AQ3" s="4"/>
      <c r="AR3" s="4"/>
      <c r="AS3" s="4"/>
      <c r="AT3" s="4"/>
      <c r="AU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80" ht="67.5" customHeight="1">
      <c r="A4" s="7" t="s">
        <v>0</v>
      </c>
      <c r="B4" s="7" t="s">
        <v>1</v>
      </c>
      <c r="C4" s="7" t="s">
        <v>2</v>
      </c>
      <c r="D4" s="153" t="s">
        <v>68</v>
      </c>
      <c r="E4" s="153"/>
      <c r="F4" s="153"/>
      <c r="G4" s="133" t="s">
        <v>105</v>
      </c>
      <c r="H4" s="134"/>
      <c r="I4" s="153" t="s">
        <v>3</v>
      </c>
      <c r="J4" s="153"/>
      <c r="K4" s="133" t="s">
        <v>99</v>
      </c>
      <c r="L4" s="134"/>
      <c r="M4" s="133" t="s">
        <v>91</v>
      </c>
      <c r="N4" s="134"/>
      <c r="O4" s="155" t="s">
        <v>69</v>
      </c>
      <c r="P4" s="155"/>
      <c r="Q4" s="42" t="s">
        <v>4</v>
      </c>
      <c r="R4" s="133" t="s">
        <v>101</v>
      </c>
      <c r="S4" s="134"/>
      <c r="T4" s="42" t="s">
        <v>5</v>
      </c>
      <c r="U4" s="42" t="s">
        <v>70</v>
      </c>
      <c r="V4" s="153" t="s">
        <v>71</v>
      </c>
      <c r="W4" s="153"/>
      <c r="X4" s="153" t="s">
        <v>86</v>
      </c>
      <c r="Y4" s="153"/>
      <c r="Z4" s="42" t="s">
        <v>93</v>
      </c>
      <c r="AA4" s="42" t="s">
        <v>72</v>
      </c>
      <c r="AB4" s="42" t="s">
        <v>73</v>
      </c>
      <c r="AC4" s="42" t="s">
        <v>74</v>
      </c>
      <c r="AD4" s="153" t="s">
        <v>60</v>
      </c>
      <c r="AE4" s="153"/>
      <c r="AF4" s="153" t="s">
        <v>75</v>
      </c>
      <c r="AG4" s="153"/>
      <c r="AH4" s="153" t="s">
        <v>7</v>
      </c>
      <c r="AI4" s="153"/>
      <c r="AJ4" s="153"/>
      <c r="AK4" s="153" t="s">
        <v>6</v>
      </c>
      <c r="AL4" s="153"/>
      <c r="AM4" s="153" t="s">
        <v>76</v>
      </c>
      <c r="AN4" s="153"/>
      <c r="AO4" s="153"/>
      <c r="AP4" s="153" t="s">
        <v>77</v>
      </c>
      <c r="AQ4" s="153"/>
      <c r="AR4" s="153"/>
      <c r="AS4" s="153" t="s">
        <v>78</v>
      </c>
      <c r="AT4" s="153"/>
      <c r="AU4" s="153"/>
      <c r="AV4" s="155" t="s">
        <v>63</v>
      </c>
      <c r="AW4" s="155"/>
      <c r="AX4" s="42" t="s">
        <v>79</v>
      </c>
      <c r="AY4" s="42" t="s">
        <v>80</v>
      </c>
      <c r="AZ4" s="42" t="s">
        <v>81</v>
      </c>
      <c r="BA4" s="42" t="s">
        <v>125</v>
      </c>
      <c r="BB4" s="44" t="s">
        <v>62</v>
      </c>
      <c r="BC4" s="153" t="s">
        <v>82</v>
      </c>
      <c r="BD4" s="153"/>
      <c r="BE4" s="153" t="s">
        <v>64</v>
      </c>
      <c r="BF4" s="153"/>
      <c r="BG4" s="133" t="s">
        <v>96</v>
      </c>
      <c r="BH4" s="134"/>
      <c r="BI4" s="133" t="s">
        <v>97</v>
      </c>
      <c r="BJ4" s="134"/>
      <c r="BK4" s="133" t="s">
        <v>94</v>
      </c>
      <c r="BL4" s="134"/>
      <c r="BM4" s="133" t="s">
        <v>119</v>
      </c>
      <c r="BN4" s="134"/>
      <c r="BO4" s="133" t="s">
        <v>88</v>
      </c>
      <c r="BP4" s="134"/>
      <c r="BQ4" s="86" t="s">
        <v>140</v>
      </c>
      <c r="BR4" s="86" t="s">
        <v>95</v>
      </c>
      <c r="BS4" s="165" t="s">
        <v>134</v>
      </c>
      <c r="BT4" s="42" t="s">
        <v>87</v>
      </c>
      <c r="BU4" s="42" t="s">
        <v>90</v>
      </c>
      <c r="BV4" s="44" t="s">
        <v>92</v>
      </c>
      <c r="BW4" s="129" t="s">
        <v>138</v>
      </c>
      <c r="BX4" s="131" t="s">
        <v>115</v>
      </c>
      <c r="BY4" s="132"/>
      <c r="BZ4" s="44" t="s">
        <v>98</v>
      </c>
      <c r="CA4" s="44" t="s">
        <v>100</v>
      </c>
      <c r="CB4" s="44" t="s">
        <v>89</v>
      </c>
    </row>
    <row r="5" spans="1:80" ht="34.5" customHeight="1">
      <c r="A5" s="8"/>
      <c r="B5" s="8" t="s">
        <v>65</v>
      </c>
      <c r="C5" s="8"/>
      <c r="D5" s="42" t="s">
        <v>10</v>
      </c>
      <c r="E5" s="42" t="s">
        <v>61</v>
      </c>
      <c r="F5" s="42" t="s">
        <v>9</v>
      </c>
      <c r="G5" s="42" t="s">
        <v>106</v>
      </c>
      <c r="H5" s="42" t="s">
        <v>9</v>
      </c>
      <c r="I5" s="42" t="s">
        <v>10</v>
      </c>
      <c r="J5" s="42" t="s">
        <v>61</v>
      </c>
      <c r="K5" s="42" t="s">
        <v>61</v>
      </c>
      <c r="L5" s="42" t="s">
        <v>10</v>
      </c>
      <c r="M5" s="42" t="s">
        <v>10</v>
      </c>
      <c r="N5" s="42" t="s">
        <v>61</v>
      </c>
      <c r="O5" s="44" t="s">
        <v>83</v>
      </c>
      <c r="P5" s="54" t="s">
        <v>11</v>
      </c>
      <c r="Q5" s="42" t="s">
        <v>9</v>
      </c>
      <c r="R5" s="42" t="s">
        <v>61</v>
      </c>
      <c r="S5" s="42" t="s">
        <v>9</v>
      </c>
      <c r="T5" s="42"/>
      <c r="U5" s="42" t="s">
        <v>67</v>
      </c>
      <c r="V5" s="42" t="s">
        <v>61</v>
      </c>
      <c r="W5" s="42" t="s">
        <v>9</v>
      </c>
      <c r="X5" s="42" t="s">
        <v>61</v>
      </c>
      <c r="Y5" s="42" t="s">
        <v>9</v>
      </c>
      <c r="Z5" s="42"/>
      <c r="AA5" s="42" t="s">
        <v>61</v>
      </c>
      <c r="AB5" s="42" t="s">
        <v>61</v>
      </c>
      <c r="AC5" s="42" t="s">
        <v>61</v>
      </c>
      <c r="AD5" s="42" t="s">
        <v>84</v>
      </c>
      <c r="AE5" s="42" t="s">
        <v>11</v>
      </c>
      <c r="AF5" s="42" t="s">
        <v>84</v>
      </c>
      <c r="AG5" s="42" t="s">
        <v>11</v>
      </c>
      <c r="AH5" s="42" t="s">
        <v>12</v>
      </c>
      <c r="AI5" s="42" t="s">
        <v>13</v>
      </c>
      <c r="AJ5" s="42" t="s">
        <v>9</v>
      </c>
      <c r="AK5" s="42" t="s">
        <v>12</v>
      </c>
      <c r="AL5" s="42" t="s">
        <v>61</v>
      </c>
      <c r="AM5" s="42" t="s">
        <v>10</v>
      </c>
      <c r="AN5" s="42" t="s">
        <v>13</v>
      </c>
      <c r="AO5" s="42" t="s">
        <v>11</v>
      </c>
      <c r="AP5" s="42" t="s">
        <v>12</v>
      </c>
      <c r="AQ5" s="42" t="s">
        <v>13</v>
      </c>
      <c r="AR5" s="42" t="s">
        <v>11</v>
      </c>
      <c r="AS5" s="42" t="s">
        <v>12</v>
      </c>
      <c r="AT5" s="42" t="s">
        <v>13</v>
      </c>
      <c r="AU5" s="42" t="s">
        <v>11</v>
      </c>
      <c r="AV5" s="42" t="s">
        <v>11</v>
      </c>
      <c r="AW5" s="44" t="s">
        <v>13</v>
      </c>
      <c r="AX5" s="42" t="s">
        <v>83</v>
      </c>
      <c r="AY5" s="42"/>
      <c r="AZ5" s="42"/>
      <c r="BA5" s="42" t="s">
        <v>83</v>
      </c>
      <c r="BB5" s="44"/>
      <c r="BC5" s="42" t="s">
        <v>10</v>
      </c>
      <c r="BD5" s="42" t="s">
        <v>61</v>
      </c>
      <c r="BE5" s="42" t="s">
        <v>85</v>
      </c>
      <c r="BF5" s="42" t="s">
        <v>11</v>
      </c>
      <c r="BG5" s="42" t="s">
        <v>83</v>
      </c>
      <c r="BH5" s="42" t="s">
        <v>11</v>
      </c>
      <c r="BI5" s="42" t="s">
        <v>83</v>
      </c>
      <c r="BJ5" s="42" t="s">
        <v>9</v>
      </c>
      <c r="BK5" s="42" t="s">
        <v>84</v>
      </c>
      <c r="BL5" s="42" t="s">
        <v>9</v>
      </c>
      <c r="BM5" s="42" t="s">
        <v>61</v>
      </c>
      <c r="BN5" s="42" t="s">
        <v>9</v>
      </c>
      <c r="BO5" s="42" t="s">
        <v>61</v>
      </c>
      <c r="BP5" s="42" t="s">
        <v>9</v>
      </c>
      <c r="BQ5" s="42" t="s">
        <v>61</v>
      </c>
      <c r="BR5" s="42" t="s">
        <v>61</v>
      </c>
      <c r="BS5" s="166"/>
      <c r="BT5" s="42" t="s">
        <v>9</v>
      </c>
      <c r="BU5" s="42" t="s">
        <v>9</v>
      </c>
      <c r="BV5" s="42" t="s">
        <v>84</v>
      </c>
      <c r="BW5" s="42" t="s">
        <v>11</v>
      </c>
      <c r="BX5" s="42" t="s">
        <v>84</v>
      </c>
      <c r="BY5" s="42" t="s">
        <v>11</v>
      </c>
      <c r="BZ5" s="42"/>
      <c r="CA5" s="42"/>
      <c r="CB5" s="54" t="s">
        <v>9</v>
      </c>
    </row>
    <row r="6" spans="1:114" s="9" customFormat="1" ht="27" customHeight="1">
      <c r="A6" s="82">
        <v>1</v>
      </c>
      <c r="B6" s="82" t="s">
        <v>14</v>
      </c>
      <c r="C6" s="82">
        <v>1686.1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 t="s">
        <v>104</v>
      </c>
      <c r="U6" s="83"/>
      <c r="V6" s="83">
        <v>1</v>
      </c>
      <c r="W6" s="83" t="s">
        <v>110</v>
      </c>
      <c r="X6" s="83"/>
      <c r="Y6" s="83"/>
      <c r="Z6" s="83" t="s">
        <v>104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 t="s">
        <v>104</v>
      </c>
      <c r="BT6" s="83"/>
      <c r="BU6" s="83"/>
      <c r="BV6" s="83"/>
      <c r="BW6" s="83"/>
      <c r="BX6" s="83"/>
      <c r="BY6" s="83"/>
      <c r="BZ6" s="83"/>
      <c r="CA6" s="83"/>
      <c r="CB6" s="83" t="s">
        <v>110</v>
      </c>
      <c r="CC6" s="75"/>
      <c r="CD6" s="75"/>
      <c r="CE6" s="75"/>
      <c r="CF6" s="75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</row>
    <row r="7" spans="1:114" ht="24" customHeight="1">
      <c r="A7" s="10">
        <v>2</v>
      </c>
      <c r="B7" s="10" t="s">
        <v>15</v>
      </c>
      <c r="C7" s="10">
        <v>317.7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78"/>
      <c r="S7" s="78"/>
      <c r="T7" s="77" t="s">
        <v>104</v>
      </c>
      <c r="U7" s="77"/>
      <c r="V7" s="77"/>
      <c r="W7" s="77"/>
      <c r="X7" s="77"/>
      <c r="Y7" s="77"/>
      <c r="Z7" s="77" t="s">
        <v>104</v>
      </c>
      <c r="AA7" s="77"/>
      <c r="AB7" s="77"/>
      <c r="AC7" s="77"/>
      <c r="AD7" s="77">
        <v>5.2</v>
      </c>
      <c r="AE7" s="77" t="s">
        <v>110</v>
      </c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 t="s">
        <v>104</v>
      </c>
      <c r="BT7" s="77"/>
      <c r="BU7" s="77"/>
      <c r="BV7" s="77"/>
      <c r="BW7" s="77"/>
      <c r="BX7" s="77"/>
      <c r="BY7" s="77"/>
      <c r="BZ7" s="77"/>
      <c r="CA7" s="77"/>
      <c r="CB7" s="77"/>
      <c r="CC7" s="79"/>
      <c r="CD7" s="79"/>
      <c r="CE7" s="79"/>
      <c r="CF7" s="79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</row>
    <row r="8" spans="1:114" s="9" customFormat="1" ht="26.25" customHeight="1">
      <c r="A8" s="82">
        <v>3</v>
      </c>
      <c r="B8" s="82" t="s">
        <v>16</v>
      </c>
      <c r="C8" s="82">
        <v>321.1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R8" s="85"/>
      <c r="S8" s="85"/>
      <c r="T8" s="84" t="s">
        <v>104</v>
      </c>
      <c r="U8" s="84"/>
      <c r="V8" s="84"/>
      <c r="W8" s="84"/>
      <c r="X8" s="84"/>
      <c r="Y8" s="84"/>
      <c r="Z8" s="84" t="s">
        <v>104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 t="s">
        <v>104</v>
      </c>
      <c r="BT8" s="84"/>
      <c r="BU8" s="84"/>
      <c r="BV8" s="84"/>
      <c r="BW8" s="84"/>
      <c r="BX8" s="84"/>
      <c r="BY8" s="84"/>
      <c r="BZ8" s="84"/>
      <c r="CA8" s="84"/>
      <c r="CB8" s="84"/>
      <c r="CC8" s="75"/>
      <c r="CD8" s="75"/>
      <c r="CE8" s="75"/>
      <c r="CF8" s="75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</row>
    <row r="9" spans="1:114" s="1" customFormat="1" ht="25.5" customHeight="1">
      <c r="A9" s="156">
        <v>4</v>
      </c>
      <c r="B9" s="156" t="s">
        <v>17</v>
      </c>
      <c r="C9" s="156">
        <v>8871.1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  <c r="S9" s="78"/>
      <c r="T9" s="140" t="s">
        <v>104</v>
      </c>
      <c r="U9" s="77"/>
      <c r="V9" s="77">
        <v>4</v>
      </c>
      <c r="W9" s="77" t="s">
        <v>136</v>
      </c>
      <c r="X9" s="77"/>
      <c r="Y9" s="77"/>
      <c r="Z9" s="140" t="s">
        <v>104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 t="s">
        <v>102</v>
      </c>
      <c r="AT9" s="77">
        <v>3.5</v>
      </c>
      <c r="AU9" s="77" t="s">
        <v>121</v>
      </c>
      <c r="AV9" s="77"/>
      <c r="AW9" s="77"/>
      <c r="AX9" s="140"/>
      <c r="AY9" s="140"/>
      <c r="AZ9" s="140"/>
      <c r="BA9" s="126"/>
      <c r="BB9" s="140" t="s">
        <v>104</v>
      </c>
      <c r="BC9" s="77"/>
      <c r="BD9" s="77"/>
      <c r="BE9" s="77">
        <v>25</v>
      </c>
      <c r="BF9" s="77" t="s">
        <v>135</v>
      </c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140">
        <v>1</v>
      </c>
      <c r="BR9" s="77"/>
      <c r="BS9" s="140" t="s">
        <v>104</v>
      </c>
      <c r="BT9" s="77"/>
      <c r="BU9" s="77"/>
      <c r="BV9" s="140"/>
      <c r="BW9" s="126"/>
      <c r="BX9" s="105"/>
      <c r="BY9" s="105"/>
      <c r="BZ9" s="140"/>
      <c r="CA9" s="89"/>
      <c r="CB9" s="140" t="s">
        <v>110</v>
      </c>
      <c r="CC9" s="79"/>
      <c r="CD9" s="79"/>
      <c r="CE9" s="79"/>
      <c r="CF9" s="79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</row>
    <row r="10" spans="1:114" s="1" customFormat="1" ht="12" customHeight="1">
      <c r="A10" s="156"/>
      <c r="B10" s="156"/>
      <c r="C10" s="15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41"/>
      <c r="U10" s="74"/>
      <c r="V10" s="74"/>
      <c r="W10" s="74"/>
      <c r="X10" s="74"/>
      <c r="Y10" s="74"/>
      <c r="Z10" s="141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141"/>
      <c r="AY10" s="141"/>
      <c r="AZ10" s="141"/>
      <c r="BA10" s="127"/>
      <c r="BB10" s="141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141"/>
      <c r="BR10" s="74"/>
      <c r="BS10" s="141"/>
      <c r="BT10" s="74"/>
      <c r="BU10" s="74"/>
      <c r="BV10" s="141"/>
      <c r="BW10" s="127"/>
      <c r="BX10" s="106"/>
      <c r="BY10" s="106"/>
      <c r="BZ10" s="141"/>
      <c r="CA10" s="90"/>
      <c r="CB10" s="141"/>
      <c r="CC10" s="79"/>
      <c r="CD10" s="79"/>
      <c r="CE10" s="79"/>
      <c r="CF10" s="79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</row>
    <row r="11" spans="1:114" s="1" customFormat="1" ht="12" customHeight="1">
      <c r="A11" s="156"/>
      <c r="B11" s="156"/>
      <c r="C11" s="156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41"/>
      <c r="U11" s="74"/>
      <c r="V11" s="74"/>
      <c r="W11" s="74"/>
      <c r="X11" s="74"/>
      <c r="Y11" s="74"/>
      <c r="Z11" s="141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141"/>
      <c r="AY11" s="141"/>
      <c r="AZ11" s="141"/>
      <c r="BA11" s="127"/>
      <c r="BB11" s="141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141"/>
      <c r="BR11" s="74"/>
      <c r="BS11" s="141"/>
      <c r="BT11" s="74"/>
      <c r="BU11" s="74"/>
      <c r="BV11" s="141"/>
      <c r="BW11" s="127"/>
      <c r="BX11" s="106"/>
      <c r="BY11" s="106"/>
      <c r="BZ11" s="141"/>
      <c r="CA11" s="90"/>
      <c r="CB11" s="141"/>
      <c r="CC11" s="79"/>
      <c r="CD11" s="79"/>
      <c r="CE11" s="79"/>
      <c r="CF11" s="79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</row>
    <row r="12" spans="1:114" ht="24.75" customHeight="1">
      <c r="A12" s="156"/>
      <c r="B12" s="156"/>
      <c r="C12" s="156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42"/>
      <c r="U12" s="74"/>
      <c r="V12" s="74"/>
      <c r="W12" s="74"/>
      <c r="X12" s="74"/>
      <c r="Y12" s="74"/>
      <c r="Z12" s="142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142"/>
      <c r="AY12" s="142"/>
      <c r="AZ12" s="142"/>
      <c r="BA12" s="128"/>
      <c r="BB12" s="142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142"/>
      <c r="BR12" s="74"/>
      <c r="BS12" s="142"/>
      <c r="BT12" s="74"/>
      <c r="BU12" s="74"/>
      <c r="BV12" s="142"/>
      <c r="BW12" s="128"/>
      <c r="BX12" s="107"/>
      <c r="BY12" s="107"/>
      <c r="BZ12" s="142"/>
      <c r="CA12" s="91"/>
      <c r="CB12" s="142"/>
      <c r="CC12" s="79"/>
      <c r="CD12" s="79"/>
      <c r="CE12" s="79"/>
      <c r="CF12" s="79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</row>
    <row r="13" spans="1:114" s="9" customFormat="1" ht="12" customHeight="1">
      <c r="A13" s="154">
        <v>5</v>
      </c>
      <c r="B13" s="154" t="s">
        <v>18</v>
      </c>
      <c r="C13" s="154">
        <v>6243.1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143" t="s">
        <v>104</v>
      </c>
      <c r="U13" s="83"/>
      <c r="V13" s="83"/>
      <c r="W13" s="83"/>
      <c r="X13" s="83"/>
      <c r="Y13" s="83"/>
      <c r="Z13" s="143" t="s">
        <v>104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143"/>
      <c r="AY13" s="143"/>
      <c r="AZ13" s="143"/>
      <c r="BA13" s="116"/>
      <c r="BB13" s="14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>
        <v>1</v>
      </c>
      <c r="BN13" s="83" t="s">
        <v>120</v>
      </c>
      <c r="BO13" s="83"/>
      <c r="BP13" s="83"/>
      <c r="BQ13" s="83"/>
      <c r="BR13" s="83"/>
      <c r="BS13" s="143" t="s">
        <v>104</v>
      </c>
      <c r="BT13" s="83"/>
      <c r="BU13" s="83"/>
      <c r="BV13" s="143"/>
      <c r="BW13" s="116"/>
      <c r="BX13" s="108"/>
      <c r="BY13" s="108"/>
      <c r="BZ13" s="143"/>
      <c r="CA13" s="92"/>
      <c r="CB13" s="83"/>
      <c r="CC13" s="75"/>
      <c r="CD13" s="75"/>
      <c r="CE13" s="75"/>
      <c r="CF13" s="75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</row>
    <row r="14" spans="1:114" s="9" customFormat="1" ht="26.25" customHeight="1">
      <c r="A14" s="154"/>
      <c r="B14" s="154"/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144"/>
      <c r="U14" s="83"/>
      <c r="V14" s="83"/>
      <c r="W14" s="83"/>
      <c r="X14" s="83"/>
      <c r="Y14" s="83"/>
      <c r="Z14" s="144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144"/>
      <c r="AY14" s="144"/>
      <c r="AZ14" s="144"/>
      <c r="BA14" s="117"/>
      <c r="BB14" s="144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144"/>
      <c r="BT14" s="83"/>
      <c r="BU14" s="83"/>
      <c r="BV14" s="144"/>
      <c r="BW14" s="117"/>
      <c r="BX14" s="109"/>
      <c r="BY14" s="109"/>
      <c r="BZ14" s="144"/>
      <c r="CA14" s="93"/>
      <c r="CB14" s="83"/>
      <c r="CC14" s="75"/>
      <c r="CD14" s="75"/>
      <c r="CE14" s="75"/>
      <c r="CF14" s="75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</row>
    <row r="15" spans="1:114" s="9" customFormat="1" ht="12" customHeight="1">
      <c r="A15" s="154"/>
      <c r="B15" s="154"/>
      <c r="C15" s="154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44"/>
      <c r="U15" s="83"/>
      <c r="V15" s="83"/>
      <c r="W15" s="83"/>
      <c r="X15" s="83"/>
      <c r="Y15" s="83"/>
      <c r="Z15" s="144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144"/>
      <c r="AY15" s="144"/>
      <c r="AZ15" s="144"/>
      <c r="BA15" s="117"/>
      <c r="BB15" s="144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144"/>
      <c r="BT15" s="83"/>
      <c r="BU15" s="83"/>
      <c r="BV15" s="144"/>
      <c r="BW15" s="117"/>
      <c r="BX15" s="109"/>
      <c r="BY15" s="109"/>
      <c r="BZ15" s="144"/>
      <c r="CA15" s="93"/>
      <c r="CB15" s="83"/>
      <c r="CC15" s="75"/>
      <c r="CD15" s="75"/>
      <c r="CE15" s="75"/>
      <c r="CF15" s="75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</row>
    <row r="16" spans="1:114" s="9" customFormat="1" ht="22.5" customHeight="1">
      <c r="A16" s="154"/>
      <c r="B16" s="154"/>
      <c r="C16" s="154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44"/>
      <c r="U16" s="83"/>
      <c r="V16" s="83"/>
      <c r="W16" s="83"/>
      <c r="X16" s="83"/>
      <c r="Y16" s="83"/>
      <c r="Z16" s="144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144"/>
      <c r="AY16" s="144"/>
      <c r="AZ16" s="144"/>
      <c r="BA16" s="117"/>
      <c r="BB16" s="144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144"/>
      <c r="BT16" s="83"/>
      <c r="BU16" s="83"/>
      <c r="BV16" s="144"/>
      <c r="BW16" s="117"/>
      <c r="BX16" s="109"/>
      <c r="BY16" s="109"/>
      <c r="BZ16" s="144"/>
      <c r="CA16" s="93"/>
      <c r="CB16" s="83"/>
      <c r="CC16" s="75"/>
      <c r="CD16" s="75"/>
      <c r="CE16" s="75"/>
      <c r="CF16" s="75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</row>
    <row r="17" spans="1:114" s="9" customFormat="1" ht="12" customHeight="1">
      <c r="A17" s="154"/>
      <c r="B17" s="154"/>
      <c r="C17" s="15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144"/>
      <c r="U17" s="83"/>
      <c r="V17" s="83"/>
      <c r="W17" s="83"/>
      <c r="X17" s="83"/>
      <c r="Y17" s="83"/>
      <c r="Z17" s="144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144"/>
      <c r="AY17" s="144"/>
      <c r="AZ17" s="144"/>
      <c r="BA17" s="117"/>
      <c r="BB17" s="144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144"/>
      <c r="BT17" s="83"/>
      <c r="BU17" s="83"/>
      <c r="BV17" s="144"/>
      <c r="BW17" s="117"/>
      <c r="BX17" s="109"/>
      <c r="BY17" s="109"/>
      <c r="BZ17" s="144"/>
      <c r="CA17" s="93"/>
      <c r="CB17" s="83"/>
      <c r="CC17" s="75"/>
      <c r="CD17" s="75"/>
      <c r="CE17" s="75"/>
      <c r="CF17" s="75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</row>
    <row r="18" spans="1:114" s="9" customFormat="1" ht="12" customHeight="1">
      <c r="A18" s="154"/>
      <c r="B18" s="154"/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45"/>
      <c r="U18" s="83"/>
      <c r="V18" s="83"/>
      <c r="W18" s="83"/>
      <c r="X18" s="83"/>
      <c r="Y18" s="83"/>
      <c r="Z18" s="145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145"/>
      <c r="AY18" s="145"/>
      <c r="AZ18" s="145"/>
      <c r="BA18" s="118"/>
      <c r="BB18" s="145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145"/>
      <c r="BT18" s="83"/>
      <c r="BU18" s="83"/>
      <c r="BV18" s="145"/>
      <c r="BW18" s="118"/>
      <c r="BX18" s="110"/>
      <c r="BY18" s="110"/>
      <c r="BZ18" s="145"/>
      <c r="CA18" s="94"/>
      <c r="CB18" s="83"/>
      <c r="CC18" s="75"/>
      <c r="CD18" s="75"/>
      <c r="CE18" s="75"/>
      <c r="CF18" s="75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</row>
    <row r="19" spans="1:114" ht="12.75">
      <c r="A19" s="156">
        <v>6</v>
      </c>
      <c r="B19" s="156" t="s">
        <v>19</v>
      </c>
      <c r="C19" s="156">
        <v>6217.8</v>
      </c>
      <c r="D19" s="74"/>
      <c r="E19" s="74"/>
      <c r="F19" s="74"/>
      <c r="G19" s="74"/>
      <c r="H19" s="74"/>
      <c r="I19" s="74" t="s">
        <v>127</v>
      </c>
      <c r="J19" s="74">
        <v>1</v>
      </c>
      <c r="K19" s="74"/>
      <c r="L19" s="74"/>
      <c r="M19" s="74"/>
      <c r="N19" s="74"/>
      <c r="O19" s="74"/>
      <c r="P19" s="74"/>
      <c r="Q19" s="74"/>
      <c r="R19" s="74"/>
      <c r="S19" s="74"/>
      <c r="T19" s="146" t="s">
        <v>104</v>
      </c>
      <c r="U19" s="74"/>
      <c r="V19" s="74"/>
      <c r="W19" s="74"/>
      <c r="X19" s="74"/>
      <c r="Y19" s="74"/>
      <c r="Z19" s="146" t="s">
        <v>104</v>
      </c>
      <c r="AA19" s="74"/>
      <c r="AB19" s="74"/>
      <c r="AC19" s="74"/>
      <c r="AD19" s="74">
        <v>30</v>
      </c>
      <c r="AE19" s="74" t="s">
        <v>113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 t="s">
        <v>111</v>
      </c>
      <c r="AT19" s="74">
        <v>3</v>
      </c>
      <c r="AU19" s="74" t="s">
        <v>118</v>
      </c>
      <c r="AV19" s="74"/>
      <c r="AW19" s="74"/>
      <c r="AX19" s="146"/>
      <c r="AY19" s="146"/>
      <c r="AZ19" s="146"/>
      <c r="BA19" s="119"/>
      <c r="BB19" s="146" t="s">
        <v>104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146" t="s">
        <v>104</v>
      </c>
      <c r="BT19" s="74"/>
      <c r="BU19" s="74"/>
      <c r="BV19" s="146"/>
      <c r="BW19" s="119"/>
      <c r="BX19" s="111"/>
      <c r="BY19" s="111"/>
      <c r="BZ19" s="146"/>
      <c r="CA19" s="95"/>
      <c r="CB19" s="74"/>
      <c r="CC19" s="79"/>
      <c r="CD19" s="79"/>
      <c r="CE19" s="79"/>
      <c r="CF19" s="79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</row>
    <row r="20" spans="1:114" ht="12.75">
      <c r="A20" s="156"/>
      <c r="B20" s="156"/>
      <c r="C20" s="15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147"/>
      <c r="U20" s="74"/>
      <c r="V20" s="74"/>
      <c r="W20" s="74"/>
      <c r="X20" s="74"/>
      <c r="Y20" s="74"/>
      <c r="Z20" s="147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147"/>
      <c r="AY20" s="147"/>
      <c r="AZ20" s="147"/>
      <c r="BA20" s="120"/>
      <c r="BB20" s="147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147"/>
      <c r="BT20" s="74"/>
      <c r="BU20" s="74"/>
      <c r="BV20" s="147"/>
      <c r="BW20" s="120"/>
      <c r="BX20" s="112"/>
      <c r="BY20" s="112"/>
      <c r="BZ20" s="147"/>
      <c r="CA20" s="96"/>
      <c r="CB20" s="74"/>
      <c r="CC20" s="79"/>
      <c r="CD20" s="79"/>
      <c r="CE20" s="79"/>
      <c r="CF20" s="79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</row>
    <row r="21" spans="1:114" ht="34.5" customHeight="1">
      <c r="A21" s="156"/>
      <c r="B21" s="156"/>
      <c r="C21" s="15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47"/>
      <c r="U21" s="77"/>
      <c r="V21" s="77"/>
      <c r="W21" s="77"/>
      <c r="X21" s="77"/>
      <c r="Y21" s="77"/>
      <c r="Z21" s="14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147"/>
      <c r="AY21" s="147"/>
      <c r="AZ21" s="147"/>
      <c r="BA21" s="120"/>
      <c r="BB21" s="14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147"/>
      <c r="BT21" s="77"/>
      <c r="BU21" s="77"/>
      <c r="BV21" s="147"/>
      <c r="BW21" s="120"/>
      <c r="BX21" s="112"/>
      <c r="BY21" s="112"/>
      <c r="BZ21" s="147"/>
      <c r="CA21" s="96"/>
      <c r="CB21" s="77"/>
      <c r="CC21" s="79"/>
      <c r="CD21" s="79"/>
      <c r="CE21" s="79"/>
      <c r="CF21" s="79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</row>
    <row r="22" spans="1:80" ht="12.75" customHeight="1">
      <c r="A22" s="156"/>
      <c r="B22" s="156"/>
      <c r="C22" s="15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147"/>
      <c r="U22" s="43"/>
      <c r="V22" s="43"/>
      <c r="W22" s="43"/>
      <c r="X22" s="43"/>
      <c r="Y22" s="43"/>
      <c r="Z22" s="147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147"/>
      <c r="AY22" s="147"/>
      <c r="AZ22" s="147"/>
      <c r="BA22" s="120"/>
      <c r="BB22" s="147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147"/>
      <c r="BT22" s="43"/>
      <c r="BU22" s="43"/>
      <c r="BV22" s="147"/>
      <c r="BW22" s="120"/>
      <c r="BX22" s="112"/>
      <c r="BY22" s="112"/>
      <c r="BZ22" s="147"/>
      <c r="CA22" s="96"/>
      <c r="CB22" s="43"/>
    </row>
    <row r="23" spans="1:80" ht="22.5" customHeight="1">
      <c r="A23" s="156"/>
      <c r="B23" s="156"/>
      <c r="C23" s="15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47"/>
      <c r="U23" s="43"/>
      <c r="V23" s="43"/>
      <c r="W23" s="43"/>
      <c r="X23" s="43"/>
      <c r="Y23" s="43"/>
      <c r="Z23" s="147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147"/>
      <c r="AY23" s="147"/>
      <c r="AZ23" s="147"/>
      <c r="BA23" s="120"/>
      <c r="BB23" s="147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147"/>
      <c r="BT23" s="43"/>
      <c r="BU23" s="43"/>
      <c r="BV23" s="147"/>
      <c r="BW23" s="120"/>
      <c r="BX23" s="112"/>
      <c r="BY23" s="112"/>
      <c r="BZ23" s="147"/>
      <c r="CA23" s="96"/>
      <c r="CB23" s="43"/>
    </row>
    <row r="24" spans="1:80" ht="12.75" customHeight="1">
      <c r="A24" s="156"/>
      <c r="B24" s="156"/>
      <c r="C24" s="15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53"/>
      <c r="P24" s="53"/>
      <c r="Q24" s="43"/>
      <c r="R24" s="43"/>
      <c r="S24" s="43"/>
      <c r="T24" s="148"/>
      <c r="U24" s="43"/>
      <c r="V24" s="43"/>
      <c r="W24" s="43"/>
      <c r="X24" s="43"/>
      <c r="Y24" s="43"/>
      <c r="Z24" s="148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53"/>
      <c r="AL24" s="53"/>
      <c r="AM24" s="43"/>
      <c r="AN24" s="43"/>
      <c r="AO24" s="43"/>
      <c r="AP24" s="43"/>
      <c r="AQ24" s="43"/>
      <c r="AR24" s="43"/>
      <c r="AS24" s="43"/>
      <c r="AT24" s="43"/>
      <c r="AU24" s="43"/>
      <c r="AV24" s="53"/>
      <c r="AW24" s="53"/>
      <c r="AX24" s="148"/>
      <c r="AY24" s="148"/>
      <c r="AZ24" s="148"/>
      <c r="BA24" s="121"/>
      <c r="BB24" s="148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148"/>
      <c r="BT24" s="43"/>
      <c r="BU24" s="43"/>
      <c r="BV24" s="148"/>
      <c r="BW24" s="121"/>
      <c r="BX24" s="113"/>
      <c r="BY24" s="113"/>
      <c r="BZ24" s="148"/>
      <c r="CA24" s="97"/>
      <c r="CB24" s="53"/>
    </row>
    <row r="25" spans="1:151" s="9" customFormat="1" ht="12.75">
      <c r="A25" s="154">
        <v>7</v>
      </c>
      <c r="B25" s="154" t="s">
        <v>20</v>
      </c>
      <c r="C25" s="159">
        <v>6176</v>
      </c>
      <c r="D25" s="84"/>
      <c r="E25" s="84"/>
      <c r="F25" s="84"/>
      <c r="G25" s="84"/>
      <c r="H25" s="84"/>
      <c r="I25" s="84" t="s">
        <v>126</v>
      </c>
      <c r="J25" s="84">
        <v>1</v>
      </c>
      <c r="K25" s="84"/>
      <c r="L25" s="84"/>
      <c r="M25" s="84"/>
      <c r="N25" s="84"/>
      <c r="O25" s="84"/>
      <c r="P25" s="84"/>
      <c r="Q25" s="84"/>
      <c r="R25" s="84"/>
      <c r="S25" s="84"/>
      <c r="T25" s="135" t="s">
        <v>104</v>
      </c>
      <c r="U25" s="84"/>
      <c r="V25" s="84"/>
      <c r="W25" s="84"/>
      <c r="X25" s="84"/>
      <c r="Y25" s="84"/>
      <c r="Z25" s="135" t="s">
        <v>104</v>
      </c>
      <c r="AA25" s="84"/>
      <c r="AB25" s="84"/>
      <c r="AC25" s="84"/>
      <c r="AD25" s="84"/>
      <c r="AE25" s="84"/>
      <c r="AF25" s="84"/>
      <c r="AG25" s="84"/>
      <c r="AH25" s="84" t="s">
        <v>130</v>
      </c>
      <c r="AI25" s="84">
        <v>3</v>
      </c>
      <c r="AJ25" s="84" t="s">
        <v>131</v>
      </c>
      <c r="AK25" s="84"/>
      <c r="AL25" s="84"/>
      <c r="AM25" s="84"/>
      <c r="AN25" s="84"/>
      <c r="AO25" s="84"/>
      <c r="AP25" s="84"/>
      <c r="AQ25" s="84"/>
      <c r="AR25" s="84"/>
      <c r="AS25" s="84" t="s">
        <v>102</v>
      </c>
      <c r="AT25" s="84">
        <v>2</v>
      </c>
      <c r="AU25" s="84" t="s">
        <v>117</v>
      </c>
      <c r="AV25" s="84"/>
      <c r="AW25" s="84"/>
      <c r="AX25" s="135"/>
      <c r="AY25" s="135"/>
      <c r="AZ25" s="135"/>
      <c r="BA25" s="122"/>
      <c r="BB25" s="135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135">
        <v>2</v>
      </c>
      <c r="BR25" s="84"/>
      <c r="BS25" s="135" t="s">
        <v>104</v>
      </c>
      <c r="BT25" s="84"/>
      <c r="BU25" s="84"/>
      <c r="BV25" s="135"/>
      <c r="BW25" s="122"/>
      <c r="BX25" s="102"/>
      <c r="BY25" s="102"/>
      <c r="BZ25" s="135"/>
      <c r="CA25" s="98"/>
      <c r="CB25" s="84"/>
      <c r="CC25" s="75"/>
      <c r="CD25" s="75"/>
      <c r="CE25" s="75"/>
      <c r="CF25" s="75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</row>
    <row r="26" spans="1:151" s="9" customFormat="1" ht="12" customHeight="1">
      <c r="A26" s="154"/>
      <c r="B26" s="154"/>
      <c r="C26" s="15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136"/>
      <c r="U26" s="84"/>
      <c r="V26" s="84"/>
      <c r="W26" s="84"/>
      <c r="X26" s="84"/>
      <c r="Y26" s="84"/>
      <c r="Z26" s="136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 t="s">
        <v>102</v>
      </c>
      <c r="AT26" s="84">
        <v>4</v>
      </c>
      <c r="AU26" s="84" t="s">
        <v>118</v>
      </c>
      <c r="AV26" s="84"/>
      <c r="AW26" s="84"/>
      <c r="AX26" s="136"/>
      <c r="AY26" s="136"/>
      <c r="AZ26" s="136"/>
      <c r="BA26" s="123"/>
      <c r="BB26" s="136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136"/>
      <c r="BR26" s="84"/>
      <c r="BS26" s="136"/>
      <c r="BT26" s="84"/>
      <c r="BU26" s="84"/>
      <c r="BV26" s="136"/>
      <c r="BW26" s="123"/>
      <c r="BX26" s="103"/>
      <c r="BY26" s="103"/>
      <c r="BZ26" s="136"/>
      <c r="CA26" s="99"/>
      <c r="CB26" s="84"/>
      <c r="CC26" s="75"/>
      <c r="CD26" s="75"/>
      <c r="CE26" s="75"/>
      <c r="CF26" s="75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</row>
    <row r="27" spans="1:151" s="9" customFormat="1" ht="12" customHeight="1">
      <c r="A27" s="154"/>
      <c r="B27" s="154"/>
      <c r="C27" s="159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136"/>
      <c r="U27" s="84"/>
      <c r="V27" s="84"/>
      <c r="W27" s="84"/>
      <c r="X27" s="84"/>
      <c r="Y27" s="84"/>
      <c r="Z27" s="136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136"/>
      <c r="AY27" s="136"/>
      <c r="AZ27" s="136"/>
      <c r="BA27" s="123"/>
      <c r="BB27" s="136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136"/>
      <c r="BR27" s="84"/>
      <c r="BS27" s="136"/>
      <c r="BT27" s="84"/>
      <c r="BU27" s="84"/>
      <c r="BV27" s="136"/>
      <c r="BW27" s="123"/>
      <c r="BX27" s="103"/>
      <c r="BY27" s="103"/>
      <c r="BZ27" s="136"/>
      <c r="CA27" s="99"/>
      <c r="CB27" s="84"/>
      <c r="CC27" s="75"/>
      <c r="CD27" s="75"/>
      <c r="CE27" s="75"/>
      <c r="CF27" s="75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</row>
    <row r="28" spans="1:151" s="9" customFormat="1" ht="24.75" customHeight="1">
      <c r="A28" s="154"/>
      <c r="B28" s="154"/>
      <c r="C28" s="159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136"/>
      <c r="U28" s="84"/>
      <c r="V28" s="84"/>
      <c r="W28" s="84"/>
      <c r="X28" s="84"/>
      <c r="Y28" s="84"/>
      <c r="Z28" s="136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136"/>
      <c r="AY28" s="136"/>
      <c r="AZ28" s="136"/>
      <c r="BA28" s="123"/>
      <c r="BB28" s="136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136"/>
      <c r="BR28" s="84"/>
      <c r="BS28" s="136"/>
      <c r="BT28" s="84"/>
      <c r="BU28" s="84"/>
      <c r="BV28" s="136"/>
      <c r="BW28" s="123"/>
      <c r="BX28" s="103"/>
      <c r="BY28" s="103"/>
      <c r="BZ28" s="136"/>
      <c r="CA28" s="99"/>
      <c r="CB28" s="84"/>
      <c r="CC28" s="75"/>
      <c r="CD28" s="75"/>
      <c r="CE28" s="75"/>
      <c r="CF28" s="75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</row>
    <row r="29" spans="1:151" s="9" customFormat="1" ht="12" customHeight="1">
      <c r="A29" s="154"/>
      <c r="B29" s="154"/>
      <c r="C29" s="15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36"/>
      <c r="U29" s="84"/>
      <c r="V29" s="84"/>
      <c r="W29" s="84"/>
      <c r="X29" s="84"/>
      <c r="Y29" s="84"/>
      <c r="Z29" s="13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36"/>
      <c r="AY29" s="136"/>
      <c r="AZ29" s="136"/>
      <c r="BA29" s="123"/>
      <c r="BB29" s="136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136"/>
      <c r="BR29" s="84"/>
      <c r="BS29" s="136"/>
      <c r="BT29" s="84"/>
      <c r="BU29" s="84"/>
      <c r="BV29" s="136"/>
      <c r="BW29" s="123"/>
      <c r="BX29" s="103"/>
      <c r="BY29" s="103"/>
      <c r="BZ29" s="136"/>
      <c r="CA29" s="99"/>
      <c r="CB29" s="84"/>
      <c r="CC29" s="75"/>
      <c r="CD29" s="75"/>
      <c r="CE29" s="75"/>
      <c r="CF29" s="75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</row>
    <row r="30" spans="1:151" s="9" customFormat="1" ht="37.5" customHeight="1">
      <c r="A30" s="154"/>
      <c r="B30" s="154"/>
      <c r="C30" s="159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37"/>
      <c r="U30" s="84"/>
      <c r="V30" s="84"/>
      <c r="W30" s="84"/>
      <c r="X30" s="84"/>
      <c r="Y30" s="84"/>
      <c r="Z30" s="137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37"/>
      <c r="AY30" s="137"/>
      <c r="AZ30" s="137"/>
      <c r="BA30" s="124"/>
      <c r="BB30" s="137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137"/>
      <c r="BR30" s="84"/>
      <c r="BS30" s="137"/>
      <c r="BT30" s="84"/>
      <c r="BU30" s="84"/>
      <c r="BV30" s="137"/>
      <c r="BW30" s="124"/>
      <c r="BX30" s="104"/>
      <c r="BY30" s="104"/>
      <c r="BZ30" s="137"/>
      <c r="CA30" s="100"/>
      <c r="CB30" s="84"/>
      <c r="CC30" s="75"/>
      <c r="CD30" s="75"/>
      <c r="CE30" s="75"/>
      <c r="CF30" s="75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</row>
    <row r="31" spans="1:151" s="55" customFormat="1" ht="12.75">
      <c r="A31" s="156">
        <v>8</v>
      </c>
      <c r="B31" s="156" t="s">
        <v>21</v>
      </c>
      <c r="C31" s="160">
        <v>6141.2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3"/>
      <c r="P31" s="53"/>
      <c r="Q31" s="149" t="s">
        <v>139</v>
      </c>
      <c r="R31" s="149">
        <v>40</v>
      </c>
      <c r="S31" s="149" t="s">
        <v>139</v>
      </c>
      <c r="T31" s="149" t="s">
        <v>104</v>
      </c>
      <c r="U31" s="43"/>
      <c r="V31" s="43"/>
      <c r="W31" s="43"/>
      <c r="X31" s="43"/>
      <c r="Y31" s="43"/>
      <c r="Z31" s="149" t="s">
        <v>104</v>
      </c>
      <c r="AA31" s="43"/>
      <c r="AB31" s="43"/>
      <c r="AC31" s="43"/>
      <c r="AD31" s="43">
        <v>90</v>
      </c>
      <c r="AE31" s="43" t="s">
        <v>137</v>
      </c>
      <c r="AF31" s="43"/>
      <c r="AG31" s="43"/>
      <c r="AH31" s="43"/>
      <c r="AI31" s="43"/>
      <c r="AJ31" s="43"/>
      <c r="AK31" s="53"/>
      <c r="AL31" s="53"/>
      <c r="AM31" s="43"/>
      <c r="AN31" s="43"/>
      <c r="AO31" s="43"/>
      <c r="AP31" s="43"/>
      <c r="AQ31" s="43"/>
      <c r="AR31" s="43"/>
      <c r="AS31" s="43" t="s">
        <v>102</v>
      </c>
      <c r="AT31" s="43">
        <v>3.5</v>
      </c>
      <c r="AU31" s="43" t="s">
        <v>103</v>
      </c>
      <c r="AV31" s="53"/>
      <c r="AW31" s="53"/>
      <c r="AX31" s="149"/>
      <c r="AY31" s="149"/>
      <c r="AZ31" s="149"/>
      <c r="BA31" s="114"/>
      <c r="BB31" s="138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149" t="s">
        <v>104</v>
      </c>
      <c r="BT31" s="43"/>
      <c r="BU31" s="43"/>
      <c r="BV31" s="138"/>
      <c r="BW31" s="87"/>
      <c r="BX31" s="87"/>
      <c r="BY31" s="87"/>
      <c r="BZ31" s="138"/>
      <c r="CA31" s="87"/>
      <c r="CB31" s="53"/>
      <c r="CC31" s="79"/>
      <c r="CD31" s="79"/>
      <c r="CE31" s="79"/>
      <c r="CF31" s="79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</row>
    <row r="32" spans="1:151" ht="34.5" customHeight="1">
      <c r="A32" s="156"/>
      <c r="B32" s="156"/>
      <c r="C32" s="160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3"/>
      <c r="P32" s="53"/>
      <c r="Q32" s="150"/>
      <c r="R32" s="150"/>
      <c r="S32" s="150"/>
      <c r="T32" s="150"/>
      <c r="U32" s="43"/>
      <c r="V32" s="43"/>
      <c r="W32" s="43"/>
      <c r="X32" s="43"/>
      <c r="Y32" s="43"/>
      <c r="Z32" s="150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53"/>
      <c r="AL32" s="53"/>
      <c r="AM32" s="43"/>
      <c r="AN32" s="43"/>
      <c r="AO32" s="43"/>
      <c r="AP32" s="43"/>
      <c r="AQ32" s="43"/>
      <c r="AR32" s="43"/>
      <c r="AS32" s="43" t="s">
        <v>111</v>
      </c>
      <c r="AT32" s="43">
        <v>3</v>
      </c>
      <c r="AU32" s="43" t="s">
        <v>112</v>
      </c>
      <c r="AV32" s="53"/>
      <c r="AW32" s="53"/>
      <c r="AX32" s="150"/>
      <c r="AY32" s="150"/>
      <c r="AZ32" s="150"/>
      <c r="BA32" s="125"/>
      <c r="BB32" s="152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150"/>
      <c r="BT32" s="43"/>
      <c r="BU32" s="43"/>
      <c r="BV32" s="152"/>
      <c r="BW32" s="101"/>
      <c r="BX32" s="101"/>
      <c r="BY32" s="101"/>
      <c r="BZ32" s="152"/>
      <c r="CA32" s="101"/>
      <c r="CB32" s="53"/>
      <c r="CC32" s="79"/>
      <c r="CD32" s="79"/>
      <c r="CE32" s="79"/>
      <c r="CF32" s="79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</row>
    <row r="33" spans="1:151" ht="12" customHeight="1">
      <c r="A33" s="156"/>
      <c r="B33" s="156"/>
      <c r="C33" s="16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3"/>
      <c r="P33" s="53"/>
      <c r="Q33" s="150"/>
      <c r="R33" s="150"/>
      <c r="S33" s="150"/>
      <c r="T33" s="150"/>
      <c r="U33" s="43"/>
      <c r="V33" s="43"/>
      <c r="W33" s="43"/>
      <c r="X33" s="43"/>
      <c r="Y33" s="43"/>
      <c r="Z33" s="150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53"/>
      <c r="AL33" s="53"/>
      <c r="AM33" s="43"/>
      <c r="AN33" s="43"/>
      <c r="AO33" s="43"/>
      <c r="AP33" s="43"/>
      <c r="AQ33" s="43"/>
      <c r="AR33" s="43"/>
      <c r="AS33" s="43"/>
      <c r="AT33" s="43"/>
      <c r="AU33" s="43"/>
      <c r="AV33" s="53"/>
      <c r="AW33" s="53"/>
      <c r="AX33" s="150"/>
      <c r="AY33" s="150"/>
      <c r="AZ33" s="150"/>
      <c r="BA33" s="125"/>
      <c r="BB33" s="152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150"/>
      <c r="BT33" s="43"/>
      <c r="BU33" s="43"/>
      <c r="BV33" s="152"/>
      <c r="BW33" s="101"/>
      <c r="BX33" s="101"/>
      <c r="BY33" s="101"/>
      <c r="BZ33" s="152"/>
      <c r="CA33" s="101"/>
      <c r="CB33" s="53"/>
      <c r="CC33" s="79"/>
      <c r="CD33" s="79"/>
      <c r="CE33" s="79"/>
      <c r="CF33" s="79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</row>
    <row r="34" spans="1:151" ht="12" customHeight="1">
      <c r="A34" s="156"/>
      <c r="B34" s="156"/>
      <c r="C34" s="160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3"/>
      <c r="P34" s="53"/>
      <c r="Q34" s="150"/>
      <c r="R34" s="150"/>
      <c r="S34" s="150"/>
      <c r="T34" s="150"/>
      <c r="U34" s="43"/>
      <c r="V34" s="43"/>
      <c r="W34" s="43"/>
      <c r="X34" s="43"/>
      <c r="Y34" s="43"/>
      <c r="Z34" s="150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53"/>
      <c r="AL34" s="53"/>
      <c r="AM34" s="43"/>
      <c r="AN34" s="43"/>
      <c r="AO34" s="43"/>
      <c r="AP34" s="43"/>
      <c r="AQ34" s="43"/>
      <c r="AR34" s="43"/>
      <c r="AS34" s="43"/>
      <c r="AT34" s="43"/>
      <c r="AU34" s="43"/>
      <c r="AV34" s="53"/>
      <c r="AW34" s="53"/>
      <c r="AX34" s="150"/>
      <c r="AY34" s="150"/>
      <c r="AZ34" s="150"/>
      <c r="BA34" s="125"/>
      <c r="BB34" s="152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150"/>
      <c r="BT34" s="43"/>
      <c r="BU34" s="43"/>
      <c r="BV34" s="152"/>
      <c r="BW34" s="101"/>
      <c r="BX34" s="101"/>
      <c r="BY34" s="101"/>
      <c r="BZ34" s="152"/>
      <c r="CA34" s="101"/>
      <c r="CB34" s="53"/>
      <c r="CC34" s="79"/>
      <c r="CD34" s="79"/>
      <c r="CE34" s="79"/>
      <c r="CF34" s="79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</row>
    <row r="35" spans="1:151" ht="22.5" customHeight="1">
      <c r="A35" s="156"/>
      <c r="B35" s="156"/>
      <c r="C35" s="160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3"/>
      <c r="P35" s="53"/>
      <c r="Q35" s="150"/>
      <c r="R35" s="150"/>
      <c r="S35" s="150"/>
      <c r="T35" s="150"/>
      <c r="U35" s="43"/>
      <c r="V35" s="43"/>
      <c r="W35" s="43"/>
      <c r="X35" s="43"/>
      <c r="Y35" s="43"/>
      <c r="Z35" s="150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53"/>
      <c r="AL35" s="53"/>
      <c r="AM35" s="43"/>
      <c r="AN35" s="43"/>
      <c r="AO35" s="43"/>
      <c r="AP35" s="43"/>
      <c r="AQ35" s="43"/>
      <c r="AR35" s="43"/>
      <c r="AS35" s="43"/>
      <c r="AT35" s="43"/>
      <c r="AU35" s="43"/>
      <c r="AV35" s="53"/>
      <c r="AW35" s="53"/>
      <c r="AX35" s="150"/>
      <c r="AY35" s="150"/>
      <c r="AZ35" s="150"/>
      <c r="BA35" s="125"/>
      <c r="BB35" s="152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150"/>
      <c r="BT35" s="43"/>
      <c r="BU35" s="43"/>
      <c r="BV35" s="152"/>
      <c r="BW35" s="101"/>
      <c r="BX35" s="101"/>
      <c r="BY35" s="101"/>
      <c r="BZ35" s="152"/>
      <c r="CA35" s="101"/>
      <c r="CB35" s="53"/>
      <c r="CC35" s="79"/>
      <c r="CD35" s="79"/>
      <c r="CE35" s="79"/>
      <c r="CF35" s="79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</row>
    <row r="36" spans="1:151" ht="38.25" customHeight="1">
      <c r="A36" s="156"/>
      <c r="B36" s="156"/>
      <c r="C36" s="160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3"/>
      <c r="P36" s="53"/>
      <c r="Q36" s="151"/>
      <c r="R36" s="151"/>
      <c r="S36" s="151"/>
      <c r="T36" s="151"/>
      <c r="U36" s="43"/>
      <c r="V36" s="43"/>
      <c r="W36" s="43"/>
      <c r="X36" s="43"/>
      <c r="Y36" s="43"/>
      <c r="Z36" s="151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53"/>
      <c r="AL36" s="53"/>
      <c r="AM36" s="43"/>
      <c r="AN36" s="43"/>
      <c r="AO36" s="43"/>
      <c r="AP36" s="43"/>
      <c r="AQ36" s="43"/>
      <c r="AR36" s="43"/>
      <c r="AS36" s="43"/>
      <c r="AT36" s="43"/>
      <c r="AU36" s="43"/>
      <c r="AV36" s="53"/>
      <c r="AW36" s="53"/>
      <c r="AX36" s="151"/>
      <c r="AY36" s="151"/>
      <c r="AZ36" s="151"/>
      <c r="BA36" s="115"/>
      <c r="BB36" s="139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151"/>
      <c r="BT36" s="43"/>
      <c r="BU36" s="43"/>
      <c r="BV36" s="139"/>
      <c r="BW36" s="88"/>
      <c r="BX36" s="88"/>
      <c r="BY36" s="88"/>
      <c r="BZ36" s="139"/>
      <c r="CA36" s="88"/>
      <c r="CB36" s="53"/>
      <c r="CC36" s="79"/>
      <c r="CD36" s="79"/>
      <c r="CE36" s="79"/>
      <c r="CF36" s="79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</row>
    <row r="37" spans="1:151" s="9" customFormat="1" ht="36" customHeight="1">
      <c r="A37" s="154">
        <v>9</v>
      </c>
      <c r="B37" s="154" t="s">
        <v>22</v>
      </c>
      <c r="C37" s="159">
        <v>4350.49</v>
      </c>
      <c r="D37" s="84"/>
      <c r="E37" s="84"/>
      <c r="F37" s="84"/>
      <c r="G37" s="84">
        <v>1</v>
      </c>
      <c r="H37" s="84" t="s">
        <v>123</v>
      </c>
      <c r="I37" s="84" t="s">
        <v>126</v>
      </c>
      <c r="J37" s="84">
        <v>1</v>
      </c>
      <c r="K37" s="84"/>
      <c r="L37" s="84"/>
      <c r="M37" s="84"/>
      <c r="N37" s="84"/>
      <c r="O37" s="84"/>
      <c r="P37" s="84"/>
      <c r="Q37" s="84"/>
      <c r="R37" s="84"/>
      <c r="S37" s="84"/>
      <c r="T37" s="135" t="s">
        <v>104</v>
      </c>
      <c r="U37" s="84"/>
      <c r="V37" s="84"/>
      <c r="W37" s="84"/>
      <c r="X37" s="84"/>
      <c r="Y37" s="84"/>
      <c r="Z37" s="135" t="s">
        <v>104</v>
      </c>
      <c r="AA37" s="84"/>
      <c r="AB37" s="84"/>
      <c r="AC37" s="84"/>
      <c r="AD37" s="84">
        <v>34</v>
      </c>
      <c r="AE37" s="84" t="s">
        <v>114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 t="s">
        <v>108</v>
      </c>
      <c r="AQ37" s="84">
        <v>3</v>
      </c>
      <c r="AR37" s="84" t="s">
        <v>109</v>
      </c>
      <c r="AS37" s="84" t="s">
        <v>102</v>
      </c>
      <c r="AT37" s="84">
        <v>7.5</v>
      </c>
      <c r="AU37" s="84" t="s">
        <v>122</v>
      </c>
      <c r="AV37" s="84"/>
      <c r="AW37" s="84"/>
      <c r="AX37" s="135"/>
      <c r="AY37" s="135"/>
      <c r="AZ37" s="135"/>
      <c r="BA37" s="135">
        <v>8</v>
      </c>
      <c r="BB37" s="135" t="s">
        <v>104</v>
      </c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135" t="s">
        <v>104</v>
      </c>
      <c r="BT37" s="84"/>
      <c r="BU37" s="84"/>
      <c r="BV37" s="135"/>
      <c r="BW37" s="122"/>
      <c r="BX37" s="102"/>
      <c r="BY37" s="102"/>
      <c r="BZ37" s="135"/>
      <c r="CA37" s="135"/>
      <c r="CB37" s="84"/>
      <c r="CC37" s="75"/>
      <c r="CD37" s="75"/>
      <c r="CE37" s="75"/>
      <c r="CF37" s="75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</row>
    <row r="38" spans="1:151" s="9" customFormat="1" ht="12" customHeight="1">
      <c r="A38" s="154"/>
      <c r="B38" s="154"/>
      <c r="C38" s="15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136"/>
      <c r="U38" s="84"/>
      <c r="V38" s="84"/>
      <c r="W38" s="84"/>
      <c r="X38" s="84"/>
      <c r="Y38" s="84"/>
      <c r="Z38" s="136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 t="s">
        <v>111</v>
      </c>
      <c r="AQ38" s="84">
        <v>6</v>
      </c>
      <c r="AR38" s="84" t="s">
        <v>129</v>
      </c>
      <c r="AS38" s="84"/>
      <c r="AT38" s="84"/>
      <c r="AU38" s="84"/>
      <c r="AV38" s="84"/>
      <c r="AW38" s="84"/>
      <c r="AX38" s="136"/>
      <c r="AY38" s="136"/>
      <c r="AZ38" s="136"/>
      <c r="BA38" s="136"/>
      <c r="BB38" s="136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136"/>
      <c r="BT38" s="84"/>
      <c r="BU38" s="84"/>
      <c r="BV38" s="136"/>
      <c r="BW38" s="123"/>
      <c r="BX38" s="103"/>
      <c r="BY38" s="103"/>
      <c r="BZ38" s="136"/>
      <c r="CA38" s="136"/>
      <c r="CB38" s="84"/>
      <c r="CC38" s="75"/>
      <c r="CD38" s="75"/>
      <c r="CE38" s="75"/>
      <c r="CF38" s="75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</row>
    <row r="39" spans="1:151" s="9" customFormat="1" ht="12.75">
      <c r="A39" s="154"/>
      <c r="B39" s="154"/>
      <c r="C39" s="15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137"/>
      <c r="U39" s="84"/>
      <c r="V39" s="84"/>
      <c r="W39" s="84"/>
      <c r="X39" s="84"/>
      <c r="Y39" s="84"/>
      <c r="Z39" s="137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137"/>
      <c r="AY39" s="137"/>
      <c r="AZ39" s="137"/>
      <c r="BA39" s="137"/>
      <c r="BB39" s="137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137"/>
      <c r="BT39" s="84"/>
      <c r="BU39" s="84"/>
      <c r="BV39" s="137"/>
      <c r="BW39" s="124"/>
      <c r="BX39" s="104"/>
      <c r="BY39" s="104"/>
      <c r="BZ39" s="137"/>
      <c r="CA39" s="137"/>
      <c r="CB39" s="84"/>
      <c r="CC39" s="75"/>
      <c r="CD39" s="75"/>
      <c r="CE39" s="75"/>
      <c r="CF39" s="75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</row>
    <row r="40" spans="1:84" s="12" customFormat="1" ht="12" customHeight="1">
      <c r="A40" s="156">
        <v>10</v>
      </c>
      <c r="B40" s="156" t="s">
        <v>23</v>
      </c>
      <c r="C40" s="160">
        <v>1658.9</v>
      </c>
      <c r="D40" s="43"/>
      <c r="E40" s="43"/>
      <c r="F40" s="43"/>
      <c r="G40" s="43"/>
      <c r="H40" s="43"/>
      <c r="I40" s="43" t="s">
        <v>111</v>
      </c>
      <c r="J40" s="43">
        <v>1</v>
      </c>
      <c r="K40" s="43"/>
      <c r="L40" s="43"/>
      <c r="M40" s="43"/>
      <c r="N40" s="43"/>
      <c r="O40" s="53"/>
      <c r="P40" s="53"/>
      <c r="Q40" s="43"/>
      <c r="R40" s="43"/>
      <c r="S40" s="43"/>
      <c r="T40" s="149" t="s">
        <v>104</v>
      </c>
      <c r="U40" s="43"/>
      <c r="V40" s="43"/>
      <c r="W40" s="43"/>
      <c r="X40" s="43"/>
      <c r="Y40" s="43"/>
      <c r="Z40" s="149" t="s">
        <v>104</v>
      </c>
      <c r="AA40" s="43"/>
      <c r="AB40" s="43"/>
      <c r="AC40" s="43"/>
      <c r="AD40" s="43">
        <v>8</v>
      </c>
      <c r="AE40" s="43" t="s">
        <v>107</v>
      </c>
      <c r="AF40" s="43"/>
      <c r="AG40" s="43"/>
      <c r="AH40" s="43"/>
      <c r="AI40" s="43"/>
      <c r="AJ40" s="43"/>
      <c r="AK40" s="53"/>
      <c r="AL40" s="53"/>
      <c r="AM40" s="43"/>
      <c r="AN40" s="43"/>
      <c r="AO40" s="43"/>
      <c r="AP40" s="43" t="s">
        <v>111</v>
      </c>
      <c r="AQ40" s="43">
        <v>2</v>
      </c>
      <c r="AR40" s="43" t="s">
        <v>128</v>
      </c>
      <c r="AS40" s="43"/>
      <c r="AT40" s="43"/>
      <c r="AU40" s="43"/>
      <c r="AV40" s="53"/>
      <c r="AW40" s="53"/>
      <c r="AX40" s="149"/>
      <c r="AY40" s="149"/>
      <c r="AZ40" s="149"/>
      <c r="BA40" s="114"/>
      <c r="BB40" s="138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149" t="s">
        <v>104</v>
      </c>
      <c r="BT40" s="43"/>
      <c r="BU40" s="43"/>
      <c r="BV40" s="138"/>
      <c r="BW40" s="53" t="s">
        <v>116</v>
      </c>
      <c r="BX40" s="53">
        <v>78</v>
      </c>
      <c r="BY40" s="53" t="s">
        <v>116</v>
      </c>
      <c r="BZ40" s="138"/>
      <c r="CA40" s="87"/>
      <c r="CB40" s="53"/>
      <c r="CC40" s="52"/>
      <c r="CD40" s="52"/>
      <c r="CE40" s="52"/>
      <c r="CF40" s="52"/>
    </row>
    <row r="41" spans="1:84" s="12" customFormat="1" ht="27.75" customHeight="1">
      <c r="A41" s="156"/>
      <c r="B41" s="156"/>
      <c r="C41" s="16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3"/>
      <c r="P41" s="53"/>
      <c r="Q41" s="43"/>
      <c r="R41" s="43"/>
      <c r="S41" s="43"/>
      <c r="T41" s="151"/>
      <c r="U41" s="43"/>
      <c r="V41" s="43"/>
      <c r="W41" s="43"/>
      <c r="X41" s="43"/>
      <c r="Y41" s="43"/>
      <c r="Z41" s="151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53"/>
      <c r="AL41" s="53"/>
      <c r="AM41" s="43"/>
      <c r="AN41" s="43"/>
      <c r="AO41" s="43"/>
      <c r="AP41" s="43"/>
      <c r="AQ41" s="43"/>
      <c r="AR41" s="43"/>
      <c r="AS41" s="43"/>
      <c r="AT41" s="43"/>
      <c r="AU41" s="43"/>
      <c r="AV41" s="53"/>
      <c r="AW41" s="53"/>
      <c r="AX41" s="151"/>
      <c r="AY41" s="151"/>
      <c r="AZ41" s="151"/>
      <c r="BA41" s="115"/>
      <c r="BB41" s="139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151"/>
      <c r="BT41" s="43"/>
      <c r="BU41" s="43"/>
      <c r="BV41" s="139"/>
      <c r="BW41" s="88"/>
      <c r="BX41" s="53"/>
      <c r="BY41" s="53"/>
      <c r="BZ41" s="139"/>
      <c r="CA41" s="88"/>
      <c r="CB41" s="53"/>
      <c r="CC41" s="52"/>
      <c r="CD41" s="52"/>
      <c r="CE41" s="52"/>
      <c r="CF41" s="52"/>
    </row>
    <row r="42" spans="1:84" s="12" customFormat="1" ht="26.25" customHeight="1">
      <c r="A42" s="161">
        <v>11</v>
      </c>
      <c r="B42" s="161" t="s">
        <v>66</v>
      </c>
      <c r="C42" s="163">
        <v>1207.9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 t="s">
        <v>104</v>
      </c>
      <c r="U42" s="84"/>
      <c r="V42" s="84"/>
      <c r="W42" s="84"/>
      <c r="X42" s="84"/>
      <c r="Y42" s="84"/>
      <c r="Z42" s="84" t="s">
        <v>104</v>
      </c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 t="s">
        <v>108</v>
      </c>
      <c r="AQ42" s="84">
        <v>10</v>
      </c>
      <c r="AR42" s="84" t="s">
        <v>132</v>
      </c>
      <c r="AS42" s="84"/>
      <c r="AT42" s="84"/>
      <c r="AU42" s="84"/>
      <c r="AV42" s="84"/>
      <c r="AW42" s="84"/>
      <c r="AX42" s="84">
        <v>0.84</v>
      </c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135">
        <v>1</v>
      </c>
      <c r="BS42" s="135"/>
      <c r="BT42" s="84"/>
      <c r="BU42" s="84"/>
      <c r="BV42" s="84"/>
      <c r="BW42" s="84"/>
      <c r="BX42" s="84"/>
      <c r="BY42" s="84"/>
      <c r="BZ42" s="84"/>
      <c r="CA42" s="84"/>
      <c r="CB42" s="84"/>
      <c r="CC42" s="52"/>
      <c r="CD42" s="52"/>
      <c r="CE42" s="52"/>
      <c r="CF42" s="52"/>
    </row>
    <row r="43" spans="1:84" s="12" customFormat="1" ht="26.25" customHeight="1">
      <c r="A43" s="162"/>
      <c r="B43" s="162"/>
      <c r="C43" s="16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 t="s">
        <v>133</v>
      </c>
      <c r="AQ43" s="84">
        <v>10</v>
      </c>
      <c r="AR43" s="84" t="s">
        <v>132</v>
      </c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137"/>
      <c r="BS43" s="137"/>
      <c r="BT43" s="84"/>
      <c r="BU43" s="84"/>
      <c r="BV43" s="84"/>
      <c r="BW43" s="84"/>
      <c r="BX43" s="84"/>
      <c r="BY43" s="84"/>
      <c r="BZ43" s="84"/>
      <c r="CA43" s="84"/>
      <c r="CB43" s="84"/>
      <c r="CC43" s="52"/>
      <c r="CD43" s="52"/>
      <c r="CE43" s="52"/>
      <c r="CF43" s="52"/>
    </row>
    <row r="44" spans="1:80" ht="12" customHeight="1">
      <c r="A44" s="8">
        <v>11</v>
      </c>
      <c r="B44" s="8" t="s">
        <v>24</v>
      </c>
      <c r="C44" s="73">
        <f>SUM(C6:C42)</f>
        <v>43191.39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53"/>
      <c r="P44" s="57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  <c r="AL44" s="41"/>
      <c r="AM44" s="45"/>
      <c r="AN44" s="45"/>
      <c r="AO44" s="45"/>
      <c r="AP44" s="45"/>
      <c r="AQ44" s="45"/>
      <c r="AR44" s="45"/>
      <c r="AS44" s="48"/>
      <c r="AT44" s="45"/>
      <c r="AU44" s="45"/>
      <c r="AV44" s="41"/>
      <c r="AW44" s="41"/>
      <c r="AX44" s="45"/>
      <c r="AY44" s="45"/>
      <c r="AZ44" s="45"/>
      <c r="BA44" s="45"/>
      <c r="BB44" s="41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1"/>
      <c r="BW44" s="41"/>
      <c r="BX44" s="41"/>
      <c r="BY44" s="41"/>
      <c r="BZ44" s="41"/>
      <c r="CA44" s="41"/>
      <c r="CB44" s="59"/>
    </row>
  </sheetData>
  <sheetProtection selectLockedCells="1" selectUnlockedCells="1"/>
  <autoFilter ref="A1:C44"/>
  <mergeCells count="125">
    <mergeCell ref="BR42:BR43"/>
    <mergeCell ref="CB9:CB12"/>
    <mergeCell ref="BQ9:BQ12"/>
    <mergeCell ref="BQ25:BQ30"/>
    <mergeCell ref="BS37:BS39"/>
    <mergeCell ref="BS40:BS41"/>
    <mergeCell ref="BS42:BS43"/>
    <mergeCell ref="Q31:Q36"/>
    <mergeCell ref="R31:R36"/>
    <mergeCell ref="S31:S36"/>
    <mergeCell ref="BA37:BA39"/>
    <mergeCell ref="Z37:Z39"/>
    <mergeCell ref="Z40:Z41"/>
    <mergeCell ref="B42:B43"/>
    <mergeCell ref="A42:A43"/>
    <mergeCell ref="C42:C43"/>
    <mergeCell ref="BS4:BS5"/>
    <mergeCell ref="BS9:BS12"/>
    <mergeCell ref="BS13:BS18"/>
    <mergeCell ref="BS19:BS24"/>
    <mergeCell ref="BS25:BS30"/>
    <mergeCell ref="BS31:BS36"/>
    <mergeCell ref="T40:T41"/>
    <mergeCell ref="G4:H4"/>
    <mergeCell ref="T13:T18"/>
    <mergeCell ref="T19:T24"/>
    <mergeCell ref="T25:T30"/>
    <mergeCell ref="T31:T36"/>
    <mergeCell ref="T37:T39"/>
    <mergeCell ref="T9:T12"/>
    <mergeCell ref="BZ40:BZ41"/>
    <mergeCell ref="AX9:AX12"/>
    <mergeCell ref="AX13:AX18"/>
    <mergeCell ref="AX19:AX24"/>
    <mergeCell ref="AX25:AX30"/>
    <mergeCell ref="AX31:AX36"/>
    <mergeCell ref="AX37:AX39"/>
    <mergeCell ref="AX40:AX41"/>
    <mergeCell ref="BZ9:BZ12"/>
    <mergeCell ref="BZ31:BZ36"/>
    <mergeCell ref="BZ37:BZ39"/>
    <mergeCell ref="B40:B41"/>
    <mergeCell ref="C40:C41"/>
    <mergeCell ref="B31:B36"/>
    <mergeCell ref="C31:C36"/>
    <mergeCell ref="AZ40:AZ41"/>
    <mergeCell ref="BB40:BB41"/>
    <mergeCell ref="BB37:BB39"/>
    <mergeCell ref="AZ31:AZ36"/>
    <mergeCell ref="AZ37:AZ39"/>
    <mergeCell ref="C19:C24"/>
    <mergeCell ref="A25:A30"/>
    <mergeCell ref="B25:B30"/>
    <mergeCell ref="C25:C30"/>
    <mergeCell ref="BZ13:BZ18"/>
    <mergeCell ref="BZ19:BZ24"/>
    <mergeCell ref="BZ25:BZ30"/>
    <mergeCell ref="AY13:AY18"/>
    <mergeCell ref="BB13:BB18"/>
    <mergeCell ref="AZ13:AZ18"/>
    <mergeCell ref="A40:A41"/>
    <mergeCell ref="A31:A36"/>
    <mergeCell ref="A19:A24"/>
    <mergeCell ref="B19:B24"/>
    <mergeCell ref="C13:C18"/>
    <mergeCell ref="A9:A12"/>
    <mergeCell ref="A37:A39"/>
    <mergeCell ref="B37:B39"/>
    <mergeCell ref="C37:C39"/>
    <mergeCell ref="B9:B12"/>
    <mergeCell ref="AV4:AW4"/>
    <mergeCell ref="M4:N4"/>
    <mergeCell ref="C9:C12"/>
    <mergeCell ref="A2:C2"/>
    <mergeCell ref="A3:C3"/>
    <mergeCell ref="AD4:AE4"/>
    <mergeCell ref="AF4:AG4"/>
    <mergeCell ref="AH4:AJ4"/>
    <mergeCell ref="AK4:AL4"/>
    <mergeCell ref="D4:F4"/>
    <mergeCell ref="X4:Y4"/>
    <mergeCell ref="A13:A18"/>
    <mergeCell ref="B13:B18"/>
    <mergeCell ref="AM4:AO4"/>
    <mergeCell ref="AP4:AR4"/>
    <mergeCell ref="AS4:AU4"/>
    <mergeCell ref="I4:J4"/>
    <mergeCell ref="O4:P4"/>
    <mergeCell ref="V4:W4"/>
    <mergeCell ref="K4:L4"/>
    <mergeCell ref="AZ9:AZ12"/>
    <mergeCell ref="AY19:AY24"/>
    <mergeCell ref="AY25:AY30"/>
    <mergeCell ref="AZ19:AZ24"/>
    <mergeCell ref="AZ25:AZ30"/>
    <mergeCell ref="AY9:AY12"/>
    <mergeCell ref="BB25:BB30"/>
    <mergeCell ref="BB31:BB36"/>
    <mergeCell ref="BO4:BP4"/>
    <mergeCell ref="BK4:BL4"/>
    <mergeCell ref="BG4:BH4"/>
    <mergeCell ref="BI4:BJ4"/>
    <mergeCell ref="BC4:BD4"/>
    <mergeCell ref="BE4:BF4"/>
    <mergeCell ref="BB9:BB12"/>
    <mergeCell ref="BV9:BV12"/>
    <mergeCell ref="BV13:BV18"/>
    <mergeCell ref="AY31:AY36"/>
    <mergeCell ref="AY37:AY39"/>
    <mergeCell ref="AY40:AY41"/>
    <mergeCell ref="BV19:BV24"/>
    <mergeCell ref="BV25:BV30"/>
    <mergeCell ref="BV31:BV36"/>
    <mergeCell ref="BV37:BV39"/>
    <mergeCell ref="BB19:BB24"/>
    <mergeCell ref="BX4:BY4"/>
    <mergeCell ref="BM4:BN4"/>
    <mergeCell ref="CA37:CA39"/>
    <mergeCell ref="R4:S4"/>
    <mergeCell ref="BV40:BV41"/>
    <mergeCell ref="Z9:Z12"/>
    <mergeCell ref="Z13:Z18"/>
    <mergeCell ref="Z19:Z24"/>
    <mergeCell ref="Z25:Z30"/>
    <mergeCell ref="Z31:Z36"/>
  </mergeCells>
  <printOptions/>
  <pageMargins left="0.1798611111111111" right="0.1701388888888889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47"/>
  <sheetViews>
    <sheetView zoomScale="110" zoomScaleNormal="110" zoomScalePageLayoutView="0" workbookViewId="0" topLeftCell="A1">
      <pane xSplit="3" topLeftCell="M1" activePane="topRight" state="frozen"/>
      <selection pane="topLeft" activeCell="A1" sqref="A1"/>
      <selection pane="topRight" activeCell="AO16" sqref="AO16"/>
    </sheetView>
  </sheetViews>
  <sheetFormatPr defaultColWidth="9.140625" defaultRowHeight="12.75" customHeight="1" zeroHeight="1"/>
  <cols>
    <col min="1" max="1" width="6.28125" style="1" customWidth="1"/>
    <col min="2" max="2" width="19.7109375" style="13" customWidth="1"/>
    <col min="3" max="3" width="8.57421875" style="47" customWidth="1"/>
    <col min="4" max="4" width="10.00390625" style="14" customWidth="1"/>
    <col min="5" max="6" width="9.8515625" style="14" customWidth="1"/>
    <col min="7" max="7" width="10.7109375" style="14" customWidth="1"/>
    <col min="8" max="9" width="9.8515625" style="14" customWidth="1"/>
    <col min="10" max="10" width="9.8515625" style="50" customWidth="1"/>
    <col min="11" max="11" width="10.8515625" style="50" customWidth="1"/>
    <col min="12" max="14" width="9.8515625" style="50" customWidth="1"/>
    <col min="15" max="15" width="9.8515625" style="14" customWidth="1"/>
    <col min="16" max="16" width="11.00390625" style="14" customWidth="1"/>
    <col min="17" max="17" width="12.57421875" style="0" customWidth="1"/>
    <col min="18" max="19" width="9.57421875" style="0" customWidth="1"/>
    <col min="20" max="24" width="9.57421875" style="13" customWidth="1"/>
    <col min="25" max="25" width="9.57421875" style="15" customWidth="1"/>
    <col min="26" max="28" width="9.57421875" style="13" customWidth="1"/>
    <col min="29" max="29" width="11.140625" style="13" customWidth="1"/>
    <col min="30" max="33" width="9.28125" style="13" customWidth="1"/>
    <col min="34" max="34" width="9.8515625" style="13" customWidth="1"/>
    <col min="35" max="37" width="9.28125" style="13" customWidth="1"/>
    <col min="38" max="38" width="9.8515625" style="13" customWidth="1"/>
    <col min="39" max="39" width="10.00390625" style="13" customWidth="1"/>
    <col min="40" max="40" width="9.57421875" style="13" customWidth="1"/>
    <col min="41" max="41" width="10.421875" style="13" customWidth="1"/>
    <col min="42" max="42" width="10.00390625" style="13" customWidth="1"/>
    <col min="43" max="44" width="13.140625" style="13" customWidth="1"/>
    <col min="45" max="45" width="12.00390625" style="13" customWidth="1"/>
  </cols>
  <sheetData>
    <row r="1" spans="1:4" ht="15" customHeight="1">
      <c r="A1" s="3"/>
      <c r="B1" s="16"/>
      <c r="C1" s="16"/>
      <c r="D1" s="17"/>
    </row>
    <row r="2" spans="1:45" ht="12.75" customHeight="1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</row>
    <row r="3" spans="1:4" ht="13.5" customHeight="1">
      <c r="A3" s="158"/>
      <c r="B3" s="158"/>
      <c r="C3" s="158"/>
      <c r="D3" s="17"/>
    </row>
    <row r="4" spans="1:45" ht="34.5" customHeight="1">
      <c r="A4" s="18" t="s">
        <v>0</v>
      </c>
      <c r="B4" s="19" t="s">
        <v>1</v>
      </c>
      <c r="C4" s="20" t="s">
        <v>2</v>
      </c>
      <c r="D4" s="167" t="s">
        <v>25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 t="s">
        <v>26</v>
      </c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 t="s">
        <v>27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22" t="s">
        <v>28</v>
      </c>
      <c r="AR4" s="22" t="s">
        <v>58</v>
      </c>
      <c r="AS4" s="21" t="s">
        <v>29</v>
      </c>
    </row>
    <row r="5" spans="1:45" ht="12" customHeight="1">
      <c r="A5" s="23"/>
      <c r="B5" s="24" t="s">
        <v>8</v>
      </c>
      <c r="C5" s="23"/>
      <c r="D5" s="49" t="s">
        <v>30</v>
      </c>
      <c r="E5" s="49" t="s">
        <v>31</v>
      </c>
      <c r="F5" s="49" t="s">
        <v>32</v>
      </c>
      <c r="G5" s="49" t="s">
        <v>33</v>
      </c>
      <c r="H5" s="49" t="s">
        <v>34</v>
      </c>
      <c r="I5" s="49" t="s">
        <v>35</v>
      </c>
      <c r="J5" s="46" t="s">
        <v>36</v>
      </c>
      <c r="K5" s="46" t="s">
        <v>37</v>
      </c>
      <c r="L5" s="46" t="s">
        <v>38</v>
      </c>
      <c r="M5" s="46" t="s">
        <v>39</v>
      </c>
      <c r="N5" s="46" t="s">
        <v>40</v>
      </c>
      <c r="O5" s="49" t="s">
        <v>41</v>
      </c>
      <c r="P5" s="26" t="s">
        <v>42</v>
      </c>
      <c r="Q5" s="26" t="s">
        <v>30</v>
      </c>
      <c r="R5" s="26" t="s">
        <v>43</v>
      </c>
      <c r="S5" s="26" t="s">
        <v>32</v>
      </c>
      <c r="T5" s="27" t="s">
        <v>33</v>
      </c>
      <c r="U5" s="27" t="s">
        <v>34</v>
      </c>
      <c r="V5" s="27" t="s">
        <v>35</v>
      </c>
      <c r="W5" s="27" t="s">
        <v>36</v>
      </c>
      <c r="X5" s="27" t="s">
        <v>37</v>
      </c>
      <c r="Y5" s="11" t="s">
        <v>38</v>
      </c>
      <c r="Z5" s="27" t="s">
        <v>39</v>
      </c>
      <c r="AA5" s="27" t="s">
        <v>40</v>
      </c>
      <c r="AB5" s="27" t="s">
        <v>41</v>
      </c>
      <c r="AC5" s="27" t="s">
        <v>42</v>
      </c>
      <c r="AD5" s="27" t="s">
        <v>30</v>
      </c>
      <c r="AE5" s="27" t="s">
        <v>43</v>
      </c>
      <c r="AF5" s="27" t="s">
        <v>32</v>
      </c>
      <c r="AG5" s="27" t="s">
        <v>33</v>
      </c>
      <c r="AH5" s="27" t="s">
        <v>34</v>
      </c>
      <c r="AI5" s="27" t="s">
        <v>35</v>
      </c>
      <c r="AJ5" s="27" t="s">
        <v>36</v>
      </c>
      <c r="AK5" s="27" t="s">
        <v>37</v>
      </c>
      <c r="AL5" s="27" t="s">
        <v>38</v>
      </c>
      <c r="AM5" s="27" t="s">
        <v>39</v>
      </c>
      <c r="AN5" s="27" t="s">
        <v>40</v>
      </c>
      <c r="AO5" s="27" t="s">
        <v>41</v>
      </c>
      <c r="AP5" s="27" t="s">
        <v>42</v>
      </c>
      <c r="AQ5" s="26" t="s">
        <v>42</v>
      </c>
      <c r="AR5" s="26" t="s">
        <v>59</v>
      </c>
      <c r="AS5" s="28"/>
    </row>
    <row r="6" spans="1:45" ht="12" customHeight="1">
      <c r="A6" s="10">
        <v>1</v>
      </c>
      <c r="B6" s="29" t="s">
        <v>14</v>
      </c>
      <c r="C6" s="60">
        <v>1686.1</v>
      </c>
      <c r="D6" s="62"/>
      <c r="E6" s="65"/>
      <c r="F6" s="65"/>
      <c r="G6" s="65"/>
      <c r="H6" s="65">
        <f>29786.55</f>
        <v>29786.55</v>
      </c>
      <c r="I6" s="68"/>
      <c r="J6" s="65">
        <f>7396.65+36180</f>
        <v>43576.65</v>
      </c>
      <c r="K6" s="65">
        <f>13195.24</f>
        <v>13195.24</v>
      </c>
      <c r="L6" s="65"/>
      <c r="M6" s="65">
        <f>40316</f>
        <v>40316</v>
      </c>
      <c r="N6" s="65"/>
      <c r="O6" s="65"/>
      <c r="P6" s="65">
        <f aca="true" t="shared" si="0" ref="P6:P16">SUM(D6:O6)</f>
        <v>126874.44</v>
      </c>
      <c r="Q6" s="64">
        <f>+C6*542614.5/160131.83</f>
        <v>5713.431917002385</v>
      </c>
      <c r="R6" s="130">
        <f>+C6*541516.41/160132.73</f>
        <v>5701.837587487579</v>
      </c>
      <c r="S6" s="130">
        <f>+C6*512405.17/160134.83</f>
        <v>5395.243228078489</v>
      </c>
      <c r="T6" s="66">
        <f>+C6*542581.14/160134.83</f>
        <v>5712.973624501303</v>
      </c>
      <c r="U6" s="130">
        <f>+C6*528764.24/160133.53</f>
        <v>5567.537198886454</v>
      </c>
      <c r="V6" s="66">
        <f>+C6*542620.26/160133.53</f>
        <v>5713.431911392948</v>
      </c>
      <c r="W6" s="66">
        <f aca="true" t="shared" si="1" ref="W6:W16">+C6*542619.24/160133.23</f>
        <v>5713.431875220402</v>
      </c>
      <c r="X6" s="130">
        <f aca="true" t="shared" si="2" ref="X6:X16">+C6*542611.79/160131.03</f>
        <v>5713.431925835986</v>
      </c>
      <c r="Y6" s="130">
        <f aca="true" t="shared" si="3" ref="Y6:Y16">+C6*542609.08/160130.23</f>
        <v>5713.431934669674</v>
      </c>
      <c r="Z6" s="130">
        <f aca="true" t="shared" si="4" ref="Z6:Z16">+C6*540278.96/160144.03</f>
        <v>5688.4065828492</v>
      </c>
      <c r="AA6" s="66">
        <f>+C6*496194.66/160144.03</f>
        <v>5224.2585391787625</v>
      </c>
      <c r="AB6" s="70">
        <f aca="true" t="shared" si="5" ref="AB6:AB16">+C6*480512.67/160149.33</f>
        <v>5058.980970366844</v>
      </c>
      <c r="AC6" s="65">
        <f aca="true" t="shared" si="6" ref="AC6:AC15">SUM(Q6:AB6)</f>
        <v>66916.39729547003</v>
      </c>
      <c r="AD6" s="70">
        <f>+C6*35204.08/160131.83</f>
        <v>370.6795787445882</v>
      </c>
      <c r="AE6" s="70">
        <f>+C6*36346.08/160132.73</f>
        <v>382.70205902316155</v>
      </c>
      <c r="AF6" s="70">
        <f>+C6*54868.69/160134.83</f>
        <v>577.7262710991732</v>
      </c>
      <c r="AG6" s="70">
        <f>+C6*85507.82/160134.83</f>
        <v>900.3333959389099</v>
      </c>
      <c r="AH6" s="70">
        <f>+C6*18385.87/160133.53</f>
        <v>193.5910324777078</v>
      </c>
      <c r="AI6" s="70">
        <f>+C6*24175.53/160133.53</f>
        <v>254.55231726297419</v>
      </c>
      <c r="AJ6" s="70">
        <f>+C6*20168.35/160133.23</f>
        <v>212.35976402274525</v>
      </c>
      <c r="AK6" s="70">
        <f aca="true" t="shared" si="7" ref="AK6:AK16">C6*28498.6/542611.79</f>
        <v>88.55592588579763</v>
      </c>
      <c r="AL6" s="70">
        <f aca="true" t="shared" si="8" ref="AL6:AL16">+C6*91367.56/160130.23</f>
        <v>962.0597117483686</v>
      </c>
      <c r="AM6" s="70">
        <f aca="true" t="shared" si="9" ref="AM6:AM16">+C6*137600.73/160144.03</f>
        <v>1448.7495465987713</v>
      </c>
      <c r="AN6" s="70">
        <f aca="true" t="shared" si="10" ref="AN6:AN16">+C6*48121.97/160144.03</f>
        <v>506.65924678553426</v>
      </c>
      <c r="AO6" s="70">
        <f aca="true" t="shared" si="11" ref="AO6:AO16">+C6*81488.44/160149.33</f>
        <v>857.9346456460355</v>
      </c>
      <c r="AP6" s="65">
        <f aca="true" t="shared" si="12" ref="AP6:AP15">SUM(AD6:AO6)</f>
        <v>6755.903495233767</v>
      </c>
      <c r="AQ6" s="65"/>
      <c r="AR6" s="65"/>
      <c r="AS6" s="65">
        <f>P6+AC6+AP6+AQ6+AR6</f>
        <v>200546.7407907038</v>
      </c>
    </row>
    <row r="7" spans="1:45" ht="12" customHeight="1">
      <c r="A7" s="10">
        <v>2</v>
      </c>
      <c r="B7" s="29" t="s">
        <v>15</v>
      </c>
      <c r="C7" s="60">
        <v>317.7</v>
      </c>
      <c r="D7" s="62"/>
      <c r="E7" s="65"/>
      <c r="F7" s="65"/>
      <c r="G7" s="65"/>
      <c r="H7" s="67">
        <v>14893.275</v>
      </c>
      <c r="I7" s="69"/>
      <c r="J7" s="65">
        <f>5050.5+3698.325</f>
        <v>8748.825</v>
      </c>
      <c r="K7" s="65">
        <f>2462.03</f>
        <v>2462.03</v>
      </c>
      <c r="L7" s="65"/>
      <c r="M7" s="65"/>
      <c r="N7" s="65"/>
      <c r="O7" s="65"/>
      <c r="P7" s="65">
        <f t="shared" si="0"/>
        <v>26104.129999999997</v>
      </c>
      <c r="Q7" s="64">
        <f aca="true" t="shared" si="13" ref="Q7:Q16">+C7*542614.5/160131.83</f>
        <v>1076.5419133098023</v>
      </c>
      <c r="R7" s="130">
        <f aca="true" t="shared" si="14" ref="R7:R16">+C7*541516.41/160132.73</f>
        <v>1074.3572750992255</v>
      </c>
      <c r="S7" s="130">
        <f aca="true" t="shared" si="15" ref="S7:S16">+C7*512405.17/160134.83</f>
        <v>1016.5878498075654</v>
      </c>
      <c r="T7" s="66">
        <f aca="true" t="shared" si="16" ref="T7:T16">+C7*542581.14/160134.83</f>
        <v>1076.4555604673888</v>
      </c>
      <c r="U7" s="130">
        <f aca="true" t="shared" si="17" ref="U7:U16">+C7*528764.24/160133.53</f>
        <v>1049.0519945947608</v>
      </c>
      <c r="V7" s="66">
        <f aca="true" t="shared" si="18" ref="V7:V16">+C7*542620.26/160133.53</f>
        <v>1076.5419122528556</v>
      </c>
      <c r="W7" s="66">
        <f t="shared" si="1"/>
        <v>1076.5419054371162</v>
      </c>
      <c r="X7" s="130">
        <f t="shared" si="2"/>
        <v>1076.5419149742559</v>
      </c>
      <c r="Y7" s="130">
        <f t="shared" si="3"/>
        <v>1076.5419166387258</v>
      </c>
      <c r="Z7" s="130">
        <f t="shared" si="4"/>
        <v>1071.8265650739525</v>
      </c>
      <c r="AA7" s="66">
        <f aca="true" t="shared" si="19" ref="AA7:AA16">+C7*496194.66/160144.03</f>
        <v>984.3704038296027</v>
      </c>
      <c r="AB7" s="70">
        <f t="shared" si="5"/>
        <v>953.2283104712334</v>
      </c>
      <c r="AC7" s="65">
        <f t="shared" si="6"/>
        <v>12608.587521956482</v>
      </c>
      <c r="AD7" s="70">
        <f aca="true" t="shared" si="20" ref="AD7:AD16">+C7*35204.08/160131.83</f>
        <v>69.84455380295098</v>
      </c>
      <c r="AE7" s="70">
        <f aca="true" t="shared" si="21" ref="AE7:AE16">+C7*36346.08/160132.73</f>
        <v>72.10986545973455</v>
      </c>
      <c r="AF7" s="70">
        <f aca="true" t="shared" si="22" ref="AF7:AF16">+C7*54868.69/160134.83</f>
        <v>108.85691022371587</v>
      </c>
      <c r="AG7" s="70">
        <f aca="true" t="shared" si="23" ref="AG7:AG16">+C7*85507.82/160134.83</f>
        <v>169.643508623327</v>
      </c>
      <c r="AH7" s="70">
        <f aca="true" t="shared" si="24" ref="AH7:AH16">+C7*18385.87/160133.53</f>
        <v>36.477000781785044</v>
      </c>
      <c r="AI7" s="70">
        <f aca="true" t="shared" si="25" ref="AI7:AI16">+C7*24175.53/160133.53</f>
        <v>47.96350821092871</v>
      </c>
      <c r="AJ7" s="70">
        <f aca="true" t="shared" si="26" ref="AJ7:AJ16">+C7*20168.35/160133.23</f>
        <v>40.01346125972728</v>
      </c>
      <c r="AK7" s="70">
        <f t="shared" si="7"/>
        <v>16.685972157000123</v>
      </c>
      <c r="AL7" s="70">
        <f t="shared" si="8"/>
        <v>181.2741654839314</v>
      </c>
      <c r="AM7" s="70">
        <f t="shared" si="9"/>
        <v>272.9777183763891</v>
      </c>
      <c r="AN7" s="70">
        <f t="shared" si="10"/>
        <v>95.46624915708689</v>
      </c>
      <c r="AO7" s="70">
        <f t="shared" si="11"/>
        <v>161.6546094073575</v>
      </c>
      <c r="AP7" s="65">
        <f t="shared" si="12"/>
        <v>1272.9675229439345</v>
      </c>
      <c r="AQ7" s="65"/>
      <c r="AR7" s="65"/>
      <c r="AS7" s="65">
        <f aca="true" t="shared" si="27" ref="AS7:AS15">P7+AC7+AP7+AQ7+AR7</f>
        <v>39985.68504490041</v>
      </c>
    </row>
    <row r="8" spans="1:45" ht="12" customHeight="1">
      <c r="A8" s="10">
        <v>3</v>
      </c>
      <c r="B8" s="29" t="s">
        <v>16</v>
      </c>
      <c r="C8" s="60">
        <v>321.1</v>
      </c>
      <c r="D8" s="62"/>
      <c r="E8" s="65"/>
      <c r="F8" s="65"/>
      <c r="G8" s="65"/>
      <c r="H8" s="67">
        <v>14893.275</v>
      </c>
      <c r="I8" s="69"/>
      <c r="J8" s="65">
        <f>3698.325</f>
        <v>3698.325</v>
      </c>
      <c r="K8" s="65">
        <f>2512.89</f>
        <v>2512.89</v>
      </c>
      <c r="L8" s="65"/>
      <c r="M8" s="65"/>
      <c r="N8" s="65"/>
      <c r="O8" s="65"/>
      <c r="P8" s="65">
        <f t="shared" si="0"/>
        <v>21104.489999999998</v>
      </c>
      <c r="Q8" s="64">
        <f t="shared" si="13"/>
        <v>1088.0629787969078</v>
      </c>
      <c r="R8" s="130">
        <f t="shared" si="14"/>
        <v>1085.8549607628622</v>
      </c>
      <c r="S8" s="130">
        <f t="shared" si="15"/>
        <v>1027.4672917003754</v>
      </c>
      <c r="T8" s="66">
        <f t="shared" si="16"/>
        <v>1087.9757018132784</v>
      </c>
      <c r="U8" s="130">
        <f t="shared" si="17"/>
        <v>1060.278865169587</v>
      </c>
      <c r="V8" s="66">
        <f t="shared" si="18"/>
        <v>1088.0629777286495</v>
      </c>
      <c r="W8" s="66">
        <f t="shared" si="1"/>
        <v>1088.0629708399688</v>
      </c>
      <c r="X8" s="130">
        <f t="shared" si="2"/>
        <v>1088.062980479174</v>
      </c>
      <c r="Y8" s="130">
        <f t="shared" si="3"/>
        <v>1088.0629821614568</v>
      </c>
      <c r="Z8" s="130">
        <f t="shared" si="4"/>
        <v>1083.297167281228</v>
      </c>
      <c r="AA8" s="66">
        <f t="shared" si="19"/>
        <v>994.9050571913297</v>
      </c>
      <c r="AB8" s="70">
        <f t="shared" si="5"/>
        <v>963.4296836396383</v>
      </c>
      <c r="AC8" s="65">
        <f t="shared" si="6"/>
        <v>12743.523617564457</v>
      </c>
      <c r="AD8" s="70">
        <f t="shared" si="20"/>
        <v>70.59202463370339</v>
      </c>
      <c r="AE8" s="70">
        <f t="shared" si="21"/>
        <v>72.88157947472699</v>
      </c>
      <c r="AF8" s="70">
        <f t="shared" si="22"/>
        <v>110.02188817385951</v>
      </c>
      <c r="AG8" s="70">
        <f t="shared" si="23"/>
        <v>171.45901988967677</v>
      </c>
      <c r="AH8" s="70">
        <f t="shared" si="24"/>
        <v>36.867374727828704</v>
      </c>
      <c r="AI8" s="70">
        <f t="shared" si="25"/>
        <v>48.476809841136955</v>
      </c>
      <c r="AJ8" s="70">
        <f t="shared" si="26"/>
        <v>40.441682123067146</v>
      </c>
      <c r="AK8" s="70">
        <f t="shared" si="7"/>
        <v>16.864544096986908</v>
      </c>
      <c r="AL8" s="70">
        <f t="shared" si="8"/>
        <v>183.21414711013654</v>
      </c>
      <c r="AM8" s="70">
        <f t="shared" si="9"/>
        <v>275.89910409398345</v>
      </c>
      <c r="AN8" s="70">
        <f t="shared" si="10"/>
        <v>96.48792132307399</v>
      </c>
      <c r="AO8" s="70">
        <f t="shared" si="11"/>
        <v>163.38462411300756</v>
      </c>
      <c r="AP8" s="65">
        <f t="shared" si="12"/>
        <v>1286.5907196011879</v>
      </c>
      <c r="AQ8" s="65"/>
      <c r="AR8" s="65"/>
      <c r="AS8" s="65">
        <f t="shared" si="27"/>
        <v>35134.60433716565</v>
      </c>
    </row>
    <row r="9" spans="1:45" ht="12" customHeight="1">
      <c r="A9" s="10">
        <v>4</v>
      </c>
      <c r="B9" s="29" t="s">
        <v>17</v>
      </c>
      <c r="C9" s="60">
        <v>8871.1</v>
      </c>
      <c r="D9" s="62"/>
      <c r="E9" s="65">
        <f>13980.04</f>
        <v>13980.04</v>
      </c>
      <c r="F9" s="65"/>
      <c r="G9" s="65"/>
      <c r="H9" s="65">
        <f>42180.39</f>
        <v>42180.39</v>
      </c>
      <c r="I9" s="65"/>
      <c r="J9" s="65">
        <f>7396.65+116160+7332.09</f>
        <v>130888.73999999999</v>
      </c>
      <c r="K9" s="65">
        <f>69435.26</f>
        <v>69435.26</v>
      </c>
      <c r="L9" s="65">
        <f>4700.56+12500</f>
        <v>17200.56</v>
      </c>
      <c r="M9" s="70"/>
      <c r="N9" s="65">
        <f>3138.2</f>
        <v>3138.2</v>
      </c>
      <c r="O9" s="65"/>
      <c r="P9" s="65">
        <f t="shared" si="0"/>
        <v>276823.19</v>
      </c>
      <c r="Q9" s="64">
        <f t="shared" si="13"/>
        <v>30060.154130193856</v>
      </c>
      <c r="R9" s="130">
        <f t="shared" si="14"/>
        <v>29999.15273255505</v>
      </c>
      <c r="S9" s="130">
        <f t="shared" si="15"/>
        <v>28386.063816266582</v>
      </c>
      <c r="T9" s="66">
        <f t="shared" si="16"/>
        <v>30057.74290985915</v>
      </c>
      <c r="U9" s="130">
        <f t="shared" si="17"/>
        <v>29292.556340099414</v>
      </c>
      <c r="V9" s="66">
        <f t="shared" si="18"/>
        <v>30060.15410068085</v>
      </c>
      <c r="W9" s="66">
        <f t="shared" si="1"/>
        <v>30060.15391036576</v>
      </c>
      <c r="X9" s="130">
        <f t="shared" si="2"/>
        <v>30060.154176670192</v>
      </c>
      <c r="Y9" s="130">
        <f t="shared" si="3"/>
        <v>30060.154223146998</v>
      </c>
      <c r="Z9" s="130">
        <f t="shared" si="4"/>
        <v>29928.488012047652</v>
      </c>
      <c r="AA9" s="66">
        <f t="shared" si="19"/>
        <v>27486.459834475256</v>
      </c>
      <c r="AB9" s="70">
        <f t="shared" si="5"/>
        <v>26616.88279830456</v>
      </c>
      <c r="AC9" s="65">
        <f t="shared" si="6"/>
        <v>352068.11698466534</v>
      </c>
      <c r="AD9" s="70">
        <f t="shared" si="20"/>
        <v>1950.2613196139707</v>
      </c>
      <c r="AE9" s="70">
        <f t="shared" si="21"/>
        <v>2013.5153524704165</v>
      </c>
      <c r="AF9" s="70">
        <f t="shared" si="22"/>
        <v>3039.5987922115387</v>
      </c>
      <c r="AG9" s="70">
        <f t="shared" si="23"/>
        <v>4736.935880857401</v>
      </c>
      <c r="AH9" s="70">
        <f t="shared" si="24"/>
        <v>1018.5430331611374</v>
      </c>
      <c r="AI9" s="70">
        <f t="shared" si="25"/>
        <v>1339.2794387471506</v>
      </c>
      <c r="AJ9" s="70">
        <f t="shared" si="26"/>
        <v>1117.2912061100621</v>
      </c>
      <c r="AK9" s="70">
        <f t="shared" si="7"/>
        <v>465.9204520049223</v>
      </c>
      <c r="AL9" s="70">
        <f t="shared" si="8"/>
        <v>5061.697354184778</v>
      </c>
      <c r="AM9" s="70">
        <f t="shared" si="9"/>
        <v>7622.324952750347</v>
      </c>
      <c r="AN9" s="70">
        <f t="shared" si="10"/>
        <v>2665.692926967056</v>
      </c>
      <c r="AO9" s="70">
        <f t="shared" si="11"/>
        <v>4513.8627809682375</v>
      </c>
      <c r="AP9" s="65">
        <f t="shared" si="12"/>
        <v>35544.92349004702</v>
      </c>
      <c r="AQ9" s="65"/>
      <c r="AR9" s="65"/>
      <c r="AS9" s="65">
        <f t="shared" si="27"/>
        <v>664436.2304747123</v>
      </c>
    </row>
    <row r="10" spans="1:45" ht="12" customHeight="1">
      <c r="A10" s="10">
        <v>5</v>
      </c>
      <c r="B10" s="29" t="s">
        <v>18</v>
      </c>
      <c r="C10" s="60">
        <v>6243.1</v>
      </c>
      <c r="D10" s="62"/>
      <c r="E10" s="65"/>
      <c r="F10" s="65"/>
      <c r="G10" s="65"/>
      <c r="H10" s="65">
        <f>42180.39</f>
        <v>42180.39</v>
      </c>
      <c r="I10" s="65"/>
      <c r="J10" s="65">
        <f>7396.65</f>
        <v>7396.65</v>
      </c>
      <c r="K10" s="65">
        <f>48867.24</f>
        <v>48867.24</v>
      </c>
      <c r="L10" s="65"/>
      <c r="M10" s="71"/>
      <c r="N10" s="65">
        <f>4558.64</f>
        <v>4558.64</v>
      </c>
      <c r="O10" s="65"/>
      <c r="P10" s="65">
        <f t="shared" si="0"/>
        <v>103002.92</v>
      </c>
      <c r="Q10" s="64">
        <f t="shared" si="13"/>
        <v>21155.04821839606</v>
      </c>
      <c r="R10" s="130">
        <f t="shared" si="14"/>
        <v>21112.118049014716</v>
      </c>
      <c r="S10" s="130">
        <f t="shared" si="15"/>
        <v>19976.895200294653</v>
      </c>
      <c r="T10" s="66">
        <f t="shared" si="16"/>
        <v>21153.35130485979</v>
      </c>
      <c r="U10" s="130">
        <f t="shared" si="17"/>
        <v>20614.845789910458</v>
      </c>
      <c r="V10" s="66">
        <f t="shared" si="18"/>
        <v>21155.04819762607</v>
      </c>
      <c r="W10" s="66">
        <f t="shared" si="1"/>
        <v>21155.048063690465</v>
      </c>
      <c r="X10" s="130">
        <f t="shared" si="2"/>
        <v>21155.048251104115</v>
      </c>
      <c r="Y10" s="130">
        <f t="shared" si="3"/>
        <v>21155.04828381249</v>
      </c>
      <c r="Z10" s="130">
        <f t="shared" si="4"/>
        <v>21062.387247129976</v>
      </c>
      <c r="AA10" s="66">
        <f t="shared" si="19"/>
        <v>19343.792471352197</v>
      </c>
      <c r="AB10" s="70">
        <f t="shared" si="5"/>
        <v>18731.82141990229</v>
      </c>
      <c r="AC10" s="65">
        <f t="shared" si="6"/>
        <v>247770.4524970933</v>
      </c>
      <c r="AD10" s="70">
        <f t="shared" si="20"/>
        <v>1372.510336314773</v>
      </c>
      <c r="AE10" s="70">
        <f t="shared" si="21"/>
        <v>1417.0258138233203</v>
      </c>
      <c r="AF10" s="70">
        <f t="shared" si="22"/>
        <v>2139.1393648652206</v>
      </c>
      <c r="AG10" s="70">
        <f t="shared" si="23"/>
        <v>3333.652466749427</v>
      </c>
      <c r="AH10" s="70">
        <f t="shared" si="24"/>
        <v>716.8069360426888</v>
      </c>
      <c r="AI10" s="70">
        <f t="shared" si="25"/>
        <v>942.5274728097232</v>
      </c>
      <c r="AJ10" s="70">
        <f t="shared" si="26"/>
        <v>786.3016682109017</v>
      </c>
      <c r="AK10" s="70">
        <f t="shared" si="7"/>
        <v>327.89484662690427</v>
      </c>
      <c r="AL10" s="70">
        <f t="shared" si="8"/>
        <v>3562.205673694467</v>
      </c>
      <c r="AM10" s="70">
        <f t="shared" si="9"/>
        <v>5364.265639268601</v>
      </c>
      <c r="AN10" s="70">
        <f t="shared" si="10"/>
        <v>1876.0004410217477</v>
      </c>
      <c r="AO10" s="70">
        <f t="shared" si="11"/>
        <v>3176.6631790716833</v>
      </c>
      <c r="AP10" s="65">
        <f t="shared" si="12"/>
        <v>25014.993838499457</v>
      </c>
      <c r="AQ10" s="65"/>
      <c r="AR10" s="65"/>
      <c r="AS10" s="65">
        <f t="shared" si="27"/>
        <v>375788.36633559276</v>
      </c>
    </row>
    <row r="11" spans="1:45" ht="12" customHeight="1">
      <c r="A11" s="10">
        <v>6</v>
      </c>
      <c r="B11" s="29" t="s">
        <v>19</v>
      </c>
      <c r="C11" s="60">
        <v>6217.8</v>
      </c>
      <c r="D11" s="62"/>
      <c r="E11" s="65">
        <f>18873.08</f>
        <v>18873.08</v>
      </c>
      <c r="F11" s="65"/>
      <c r="G11" s="65"/>
      <c r="H11" s="65">
        <f>42180.39</f>
        <v>42180.39</v>
      </c>
      <c r="I11" s="65"/>
      <c r="J11" s="65">
        <f>7396.65</f>
        <v>7396.65</v>
      </c>
      <c r="K11" s="65">
        <f>13943.3+48638.72</f>
        <v>62582.020000000004</v>
      </c>
      <c r="L11" s="65">
        <f>2277.62</f>
        <v>2277.62</v>
      </c>
      <c r="M11" s="72"/>
      <c r="N11" s="65">
        <f>6884.5</f>
        <v>6884.5</v>
      </c>
      <c r="O11" s="65"/>
      <c r="P11" s="65">
        <f t="shared" si="0"/>
        <v>140194.26</v>
      </c>
      <c r="Q11" s="64">
        <f t="shared" si="13"/>
        <v>21069.317936977302</v>
      </c>
      <c r="R11" s="130">
        <f t="shared" si="14"/>
        <v>21026.561740988243</v>
      </c>
      <c r="S11" s="130">
        <f t="shared" si="15"/>
        <v>19895.939353268743</v>
      </c>
      <c r="T11" s="66">
        <f t="shared" si="16"/>
        <v>21067.627900138905</v>
      </c>
      <c r="U11" s="130">
        <f t="shared" si="17"/>
        <v>20531.304664750725</v>
      </c>
      <c r="V11" s="66">
        <f t="shared" si="18"/>
        <v>21069.317916291486</v>
      </c>
      <c r="W11" s="66">
        <f t="shared" si="1"/>
        <v>21069.31778289865</v>
      </c>
      <c r="X11" s="130">
        <f t="shared" si="2"/>
        <v>21069.317969552812</v>
      </c>
      <c r="Y11" s="130">
        <f t="shared" si="3"/>
        <v>21069.318002128643</v>
      </c>
      <c r="Z11" s="130">
        <f t="shared" si="4"/>
        <v>20977.032471881717</v>
      </c>
      <c r="AA11" s="66">
        <f t="shared" si="19"/>
        <v>19265.40225663111</v>
      </c>
      <c r="AB11" s="70">
        <f t="shared" si="5"/>
        <v>18655.911201913867</v>
      </c>
      <c r="AC11" s="65">
        <f t="shared" si="6"/>
        <v>246766.36919742223</v>
      </c>
      <c r="AD11" s="70">
        <f t="shared" si="20"/>
        <v>1366.9482739565271</v>
      </c>
      <c r="AE11" s="70">
        <f t="shared" si="21"/>
        <v>1411.2833536529351</v>
      </c>
      <c r="AF11" s="70">
        <f t="shared" si="22"/>
        <v>2130.4705583538575</v>
      </c>
      <c r="AG11" s="70">
        <f t="shared" si="23"/>
        <v>3320.142927032177</v>
      </c>
      <c r="AH11" s="70">
        <f t="shared" si="24"/>
        <v>713.9020946206582</v>
      </c>
      <c r="AI11" s="70">
        <f t="shared" si="25"/>
        <v>938.707904796703</v>
      </c>
      <c r="AJ11" s="70">
        <f t="shared" si="26"/>
        <v>783.115201198402</v>
      </c>
      <c r="AK11" s="70">
        <f t="shared" si="7"/>
        <v>326.5660613087673</v>
      </c>
      <c r="AL11" s="70">
        <f t="shared" si="8"/>
        <v>3547.769928064176</v>
      </c>
      <c r="AM11" s="70">
        <f t="shared" si="9"/>
        <v>5342.527092605326</v>
      </c>
      <c r="AN11" s="70">
        <f t="shared" si="10"/>
        <v>1868.39799813955</v>
      </c>
      <c r="AO11" s="70">
        <f t="shared" si="11"/>
        <v>3163.7898343502284</v>
      </c>
      <c r="AP11" s="65">
        <f t="shared" si="12"/>
        <v>24913.621228079308</v>
      </c>
      <c r="AQ11" s="65"/>
      <c r="AR11" s="65"/>
      <c r="AS11" s="65">
        <f t="shared" si="27"/>
        <v>411874.25042550155</v>
      </c>
    </row>
    <row r="12" spans="1:45" ht="12" customHeight="1">
      <c r="A12" s="10">
        <v>7</v>
      </c>
      <c r="B12" s="29" t="s">
        <v>20</v>
      </c>
      <c r="C12" s="60">
        <v>6176</v>
      </c>
      <c r="D12" s="62"/>
      <c r="E12" s="65"/>
      <c r="F12" s="65"/>
      <c r="G12" s="65"/>
      <c r="H12" s="65">
        <f>42180.39</f>
        <v>42180.39</v>
      </c>
      <c r="I12" s="65"/>
      <c r="J12" s="65">
        <f>7396.65+14664.18</f>
        <v>22060.83</v>
      </c>
      <c r="K12" s="65">
        <f>1954.93+48313.16</f>
        <v>50268.090000000004</v>
      </c>
      <c r="L12" s="65"/>
      <c r="M12" s="71">
        <f>2520.3</f>
        <v>2520.3</v>
      </c>
      <c r="N12" s="65">
        <f>5201.23</f>
        <v>5201.23</v>
      </c>
      <c r="O12" s="65">
        <f>3917.65</f>
        <v>3917.65</v>
      </c>
      <c r="P12" s="65">
        <f t="shared" si="0"/>
        <v>126148.48999999999</v>
      </c>
      <c r="Q12" s="64">
        <f t="shared" si="13"/>
        <v>20927.676602459363</v>
      </c>
      <c r="R12" s="130">
        <f t="shared" si="14"/>
        <v>20885.207840770592</v>
      </c>
      <c r="S12" s="130">
        <f t="shared" si="15"/>
        <v>19762.186214704197</v>
      </c>
      <c r="T12" s="66">
        <f t="shared" si="16"/>
        <v>20925.99792712179</v>
      </c>
      <c r="U12" s="130">
        <f t="shared" si="17"/>
        <v>20393.28019709551</v>
      </c>
      <c r="V12" s="66">
        <f t="shared" si="18"/>
        <v>20927.67658191261</v>
      </c>
      <c r="W12" s="66">
        <f t="shared" si="1"/>
        <v>20927.676449416525</v>
      </c>
      <c r="X12" s="130">
        <f t="shared" si="2"/>
        <v>20927.676634815878</v>
      </c>
      <c r="Y12" s="130">
        <f t="shared" si="3"/>
        <v>20927.676667172713</v>
      </c>
      <c r="Z12" s="130">
        <f t="shared" si="4"/>
        <v>20836.01153886286</v>
      </c>
      <c r="AA12" s="66">
        <f t="shared" si="19"/>
        <v>19135.887988831055</v>
      </c>
      <c r="AB12" s="70">
        <f t="shared" si="5"/>
        <v>18530.49432001995</v>
      </c>
      <c r="AC12" s="65">
        <f t="shared" si="6"/>
        <v>245107.44896318304</v>
      </c>
      <c r="AD12" s="70">
        <f t="shared" si="20"/>
        <v>1357.7587796255125</v>
      </c>
      <c r="AE12" s="70">
        <f t="shared" si="21"/>
        <v>1401.7958107627342</v>
      </c>
      <c r="AF12" s="70">
        <f t="shared" si="22"/>
        <v>2116.148182378562</v>
      </c>
      <c r="AG12" s="70">
        <f t="shared" si="23"/>
        <v>3297.8228179341127</v>
      </c>
      <c r="AH12" s="70">
        <f t="shared" si="24"/>
        <v>709.1027914016508</v>
      </c>
      <c r="AI12" s="70">
        <f t="shared" si="25"/>
        <v>932.3973141664959</v>
      </c>
      <c r="AJ12" s="70">
        <f t="shared" si="26"/>
        <v>777.8506035255767</v>
      </c>
      <c r="AK12" s="70">
        <f t="shared" si="7"/>
        <v>324.3706768701063</v>
      </c>
      <c r="AL12" s="70">
        <f t="shared" si="8"/>
        <v>3523.9195657184773</v>
      </c>
      <c r="AM12" s="70">
        <f t="shared" si="9"/>
        <v>5306.611232900783</v>
      </c>
      <c r="AN12" s="70">
        <f t="shared" si="10"/>
        <v>1855.8374403341793</v>
      </c>
      <c r="AO12" s="70">
        <f t="shared" si="11"/>
        <v>3142.520830027825</v>
      </c>
      <c r="AP12" s="65">
        <f t="shared" si="12"/>
        <v>24746.136045646017</v>
      </c>
      <c r="AQ12" s="65"/>
      <c r="AR12" s="65"/>
      <c r="AS12" s="65">
        <f t="shared" si="27"/>
        <v>396002.07500882907</v>
      </c>
    </row>
    <row r="13" spans="1:45" ht="12" customHeight="1">
      <c r="A13" s="10">
        <v>8</v>
      </c>
      <c r="B13" s="29" t="s">
        <v>21</v>
      </c>
      <c r="C13" s="60">
        <v>6141.2</v>
      </c>
      <c r="D13" s="62">
        <v>3186.14</v>
      </c>
      <c r="E13" s="65"/>
      <c r="F13" s="65"/>
      <c r="G13" s="65"/>
      <c r="H13" s="65">
        <f>42180.39</f>
        <v>42180.39</v>
      </c>
      <c r="I13" s="65"/>
      <c r="J13" s="65">
        <f>2197.7+7396.65</f>
        <v>9594.349999999999</v>
      </c>
      <c r="K13" s="65">
        <f>48018.13+265149.46</f>
        <v>313167.59</v>
      </c>
      <c r="L13" s="65">
        <f>74395</f>
        <v>74395</v>
      </c>
      <c r="M13" s="71"/>
      <c r="N13" s="65"/>
      <c r="O13" s="65"/>
      <c r="P13" s="65">
        <f t="shared" si="0"/>
        <v>442523.47000000003</v>
      </c>
      <c r="Q13" s="64">
        <f t="shared" si="13"/>
        <v>20809.75510865017</v>
      </c>
      <c r="R13" s="130">
        <f t="shared" si="14"/>
        <v>20767.525646331014</v>
      </c>
      <c r="S13" s="130">
        <f t="shared" si="15"/>
        <v>19650.831927095434</v>
      </c>
      <c r="T13" s="66">
        <f t="shared" si="16"/>
        <v>20808.085892169744</v>
      </c>
      <c r="U13" s="130">
        <f t="shared" si="17"/>
        <v>20278.36987474141</v>
      </c>
      <c r="V13" s="66">
        <f t="shared" si="18"/>
        <v>20809.755088219186</v>
      </c>
      <c r="W13" s="66">
        <f t="shared" si="1"/>
        <v>20809.754956469682</v>
      </c>
      <c r="X13" s="130">
        <f t="shared" si="2"/>
        <v>20809.755140824363</v>
      </c>
      <c r="Y13" s="130">
        <f t="shared" si="3"/>
        <v>20809.755172998874</v>
      </c>
      <c r="Z13" s="130">
        <f t="shared" si="4"/>
        <v>20718.60655156486</v>
      </c>
      <c r="AA13" s="66">
        <f t="shared" si="19"/>
        <v>19028.062713246316</v>
      </c>
      <c r="AB13" s="70">
        <f t="shared" si="5"/>
        <v>18426.08026523745</v>
      </c>
      <c r="AC13" s="65">
        <f t="shared" si="6"/>
        <v>243726.33833754854</v>
      </c>
      <c r="AD13" s="70">
        <f t="shared" si="20"/>
        <v>1350.1081958283999</v>
      </c>
      <c r="AE13" s="70">
        <f t="shared" si="21"/>
        <v>1393.897090844576</v>
      </c>
      <c r="AF13" s="70">
        <f t="shared" si="22"/>
        <v>2104.224290418268</v>
      </c>
      <c r="AG13" s="70">
        <f t="shared" si="23"/>
        <v>3279.2405261491213</v>
      </c>
      <c r="AH13" s="70">
        <f t="shared" si="24"/>
        <v>705.1071992480275</v>
      </c>
      <c r="AI13" s="70">
        <f t="shared" si="25"/>
        <v>927.1435210102469</v>
      </c>
      <c r="AJ13" s="70">
        <f t="shared" si="26"/>
        <v>773.4676370419804</v>
      </c>
      <c r="AK13" s="70">
        <f t="shared" si="7"/>
        <v>322.5429405431828</v>
      </c>
      <c r="AL13" s="70">
        <f t="shared" si="8"/>
        <v>3504.063283191437</v>
      </c>
      <c r="AM13" s="70">
        <f t="shared" si="9"/>
        <v>5276.709990850112</v>
      </c>
      <c r="AN13" s="70">
        <f t="shared" si="10"/>
        <v>1845.3803252234877</v>
      </c>
      <c r="AO13" s="70">
        <f t="shared" si="11"/>
        <v>3124.813620687642</v>
      </c>
      <c r="AP13" s="65">
        <f t="shared" si="12"/>
        <v>24606.698621036478</v>
      </c>
      <c r="AQ13" s="65"/>
      <c r="AR13" s="65"/>
      <c r="AS13" s="65">
        <f t="shared" si="27"/>
        <v>710856.506958585</v>
      </c>
    </row>
    <row r="14" spans="1:45" ht="12" customHeight="1">
      <c r="A14" s="10">
        <v>9</v>
      </c>
      <c r="B14" s="29" t="s">
        <v>22</v>
      </c>
      <c r="C14" s="60">
        <v>4350.49</v>
      </c>
      <c r="D14" s="62"/>
      <c r="E14" s="65">
        <f>12931.54+14372.04</f>
        <v>27303.58</v>
      </c>
      <c r="F14" s="65"/>
      <c r="G14" s="65">
        <f>5607.59</f>
        <v>5607.59</v>
      </c>
      <c r="H14" s="65">
        <f>4878.46+42180.39</f>
        <v>47058.85</v>
      </c>
      <c r="I14" s="65">
        <f>3027.49</f>
        <v>3027.49</v>
      </c>
      <c r="J14" s="65">
        <f>7396.65</f>
        <v>7396.65</v>
      </c>
      <c r="K14" s="65">
        <f>15802.4+33129.99</f>
        <v>48932.39</v>
      </c>
      <c r="L14" s="65"/>
      <c r="M14" s="70">
        <f>7857.65</f>
        <v>7857.65</v>
      </c>
      <c r="N14" s="65">
        <f>6711.89</f>
        <v>6711.89</v>
      </c>
      <c r="O14" s="65"/>
      <c r="P14" s="65">
        <f t="shared" si="0"/>
        <v>153896.09</v>
      </c>
      <c r="Q14" s="64">
        <f t="shared" si="13"/>
        <v>14741.847114998936</v>
      </c>
      <c r="R14" s="130">
        <f t="shared" si="14"/>
        <v>14711.931324351368</v>
      </c>
      <c r="S14" s="130">
        <f t="shared" si="15"/>
        <v>13920.853870661993</v>
      </c>
      <c r="T14" s="66">
        <f t="shared" si="16"/>
        <v>14740.664624670348</v>
      </c>
      <c r="U14" s="130">
        <f t="shared" si="17"/>
        <v>14365.40828443362</v>
      </c>
      <c r="V14" s="66">
        <f t="shared" si="18"/>
        <v>14741.847100525418</v>
      </c>
      <c r="W14" s="66">
        <f t="shared" si="1"/>
        <v>14741.847007192697</v>
      </c>
      <c r="X14" s="130">
        <f t="shared" si="2"/>
        <v>14741.84713779147</v>
      </c>
      <c r="Y14" s="130">
        <f t="shared" si="3"/>
        <v>14741.84716058423</v>
      </c>
      <c r="Z14" s="130">
        <f t="shared" si="4"/>
        <v>14677.276528450044</v>
      </c>
      <c r="AA14" s="66">
        <f t="shared" si="19"/>
        <v>13479.677677546893</v>
      </c>
      <c r="AB14" s="70">
        <f t="shared" si="5"/>
        <v>13053.227045709777</v>
      </c>
      <c r="AC14" s="65">
        <f t="shared" si="6"/>
        <v>172658.27487691678</v>
      </c>
      <c r="AD14" s="70">
        <f t="shared" si="20"/>
        <v>956.4306983764565</v>
      </c>
      <c r="AE14" s="70">
        <f t="shared" si="21"/>
        <v>987.4512073777796</v>
      </c>
      <c r="AF14" s="70">
        <f t="shared" si="22"/>
        <v>1490.654388917764</v>
      </c>
      <c r="AG14" s="70">
        <f t="shared" si="23"/>
        <v>2323.0481203358445</v>
      </c>
      <c r="AH14" s="70">
        <f t="shared" si="24"/>
        <v>499.50527897748833</v>
      </c>
      <c r="AI14" s="70">
        <f t="shared" si="25"/>
        <v>656.7981203543068</v>
      </c>
      <c r="AJ14" s="70">
        <f t="shared" si="26"/>
        <v>547.9325246327697</v>
      </c>
      <c r="AK14" s="70">
        <f t="shared" si="7"/>
        <v>228.49277623326242</v>
      </c>
      <c r="AL14" s="70">
        <f t="shared" si="8"/>
        <v>2482.314901467387</v>
      </c>
      <c r="AM14" s="70">
        <f t="shared" si="9"/>
        <v>3738.0762795697096</v>
      </c>
      <c r="AN14" s="70">
        <f t="shared" si="10"/>
        <v>1307.2866298250394</v>
      </c>
      <c r="AO14" s="70">
        <f t="shared" si="11"/>
        <v>2213.650493171592</v>
      </c>
      <c r="AP14" s="65">
        <f t="shared" si="12"/>
        <v>17431.6414192394</v>
      </c>
      <c r="AQ14" s="65"/>
      <c r="AR14" s="65"/>
      <c r="AS14" s="65">
        <f t="shared" si="27"/>
        <v>343986.00629615615</v>
      </c>
    </row>
    <row r="15" spans="1:45" ht="12" customHeight="1">
      <c r="A15" s="10">
        <v>10</v>
      </c>
      <c r="B15" s="29" t="s">
        <v>23</v>
      </c>
      <c r="C15" s="60">
        <v>1658.9</v>
      </c>
      <c r="D15" s="62"/>
      <c r="E15" s="65"/>
      <c r="F15" s="65"/>
      <c r="G15" s="65"/>
      <c r="H15" s="65">
        <f>29786.55</f>
        <v>29786.55</v>
      </c>
      <c r="I15" s="65">
        <f>3843.72</f>
        <v>3843.72</v>
      </c>
      <c r="J15" s="65">
        <f>7396.65</f>
        <v>7396.65</v>
      </c>
      <c r="K15" s="65">
        <f>34700.78+12994.12</f>
        <v>47694.9</v>
      </c>
      <c r="L15" s="65">
        <f>77000</f>
        <v>77000</v>
      </c>
      <c r="M15" s="70">
        <f>7556.27</f>
        <v>7556.27</v>
      </c>
      <c r="N15" s="65"/>
      <c r="O15" s="65"/>
      <c r="P15" s="65">
        <f t="shared" si="0"/>
        <v>173278.09</v>
      </c>
      <c r="Q15" s="64">
        <f t="shared" si="13"/>
        <v>5621.263393105544</v>
      </c>
      <c r="R15" s="130">
        <f t="shared" si="14"/>
        <v>5609.856102178487</v>
      </c>
      <c r="S15" s="130">
        <f t="shared" si="15"/>
        <v>5308.207692936009</v>
      </c>
      <c r="T15" s="66">
        <f t="shared" si="16"/>
        <v>5620.812493734187</v>
      </c>
      <c r="U15" s="130">
        <f t="shared" si="17"/>
        <v>5477.722234287848</v>
      </c>
      <c r="V15" s="66">
        <f t="shared" si="18"/>
        <v>5621.263387586598</v>
      </c>
      <c r="W15" s="66">
        <f t="shared" si="1"/>
        <v>5621.263351997583</v>
      </c>
      <c r="X15" s="130">
        <f t="shared" si="2"/>
        <v>5621.263401796642</v>
      </c>
      <c r="Y15" s="130">
        <f t="shared" si="3"/>
        <v>5621.263410487826</v>
      </c>
      <c r="Z15" s="130">
        <f t="shared" si="4"/>
        <v>5596.641765190997</v>
      </c>
      <c r="AA15" s="66">
        <f t="shared" si="19"/>
        <v>5139.981312284947</v>
      </c>
      <c r="AB15" s="70">
        <f t="shared" si="5"/>
        <v>4977.369985019607</v>
      </c>
      <c r="AC15" s="65">
        <f t="shared" si="6"/>
        <v>65836.90853060628</v>
      </c>
      <c r="AD15" s="70">
        <f t="shared" si="20"/>
        <v>364.6998120985691</v>
      </c>
      <c r="AE15" s="70">
        <f t="shared" si="21"/>
        <v>376.5283469032221</v>
      </c>
      <c r="AF15" s="70">
        <f t="shared" si="22"/>
        <v>568.4064474980241</v>
      </c>
      <c r="AG15" s="70">
        <f t="shared" si="23"/>
        <v>885.8093058081121</v>
      </c>
      <c r="AH15" s="70">
        <f t="shared" si="24"/>
        <v>190.4680409093586</v>
      </c>
      <c r="AI15" s="70">
        <f t="shared" si="25"/>
        <v>250.4459042213083</v>
      </c>
      <c r="AJ15" s="70">
        <f t="shared" si="26"/>
        <v>208.93399711602643</v>
      </c>
      <c r="AK15" s="70">
        <f t="shared" si="7"/>
        <v>87.1273503659034</v>
      </c>
      <c r="AL15" s="70">
        <f t="shared" si="8"/>
        <v>946.5398587387278</v>
      </c>
      <c r="AM15" s="70">
        <f t="shared" si="9"/>
        <v>1425.3784608580165</v>
      </c>
      <c r="AN15" s="70">
        <f t="shared" si="10"/>
        <v>498.48586945763765</v>
      </c>
      <c r="AO15" s="70">
        <f t="shared" si="11"/>
        <v>844.0945280008352</v>
      </c>
      <c r="AP15" s="65">
        <f t="shared" si="12"/>
        <v>6646.917921975742</v>
      </c>
      <c r="AQ15" s="65"/>
      <c r="AR15" s="65"/>
      <c r="AS15" s="65">
        <f t="shared" si="27"/>
        <v>245761.91645258202</v>
      </c>
    </row>
    <row r="16" spans="1:45" ht="12" customHeight="1">
      <c r="A16" s="10">
        <v>11</v>
      </c>
      <c r="B16" s="29" t="s">
        <v>66</v>
      </c>
      <c r="C16" s="60">
        <v>1207.9</v>
      </c>
      <c r="D16" s="62"/>
      <c r="E16" s="65"/>
      <c r="F16" s="65"/>
      <c r="G16" s="65"/>
      <c r="H16" s="65">
        <f>29786.55</f>
        <v>29786.55</v>
      </c>
      <c r="I16" s="65"/>
      <c r="J16" s="65">
        <f>7396.65</f>
        <v>7396.65</v>
      </c>
      <c r="K16" s="65"/>
      <c r="L16" s="65">
        <f>117374</f>
        <v>117374</v>
      </c>
      <c r="M16" s="70">
        <f>9000</f>
        <v>9000</v>
      </c>
      <c r="N16" s="65"/>
      <c r="O16" s="65">
        <f>28711.76</f>
        <v>28711.76</v>
      </c>
      <c r="P16" s="65">
        <f t="shared" si="0"/>
        <v>192268.96000000002</v>
      </c>
      <c r="Q16" s="64">
        <f t="shared" si="13"/>
        <v>4093.0279417277634</v>
      </c>
      <c r="R16" s="130">
        <f t="shared" si="14"/>
        <v>4084.721915619624</v>
      </c>
      <c r="S16" s="130">
        <f t="shared" si="15"/>
        <v>3865.0817242132775</v>
      </c>
      <c r="T16" s="66">
        <f t="shared" si="16"/>
        <v>4092.699626970598</v>
      </c>
      <c r="U16" s="130">
        <f t="shared" si="17"/>
        <v>3988.5108727447655</v>
      </c>
      <c r="V16" s="66">
        <f t="shared" si="18"/>
        <v>4093.0279377092356</v>
      </c>
      <c r="W16" s="66">
        <f t="shared" si="1"/>
        <v>4093.0279117956966</v>
      </c>
      <c r="X16" s="130">
        <f t="shared" si="2"/>
        <v>4093.02794805604</v>
      </c>
      <c r="Y16" s="130">
        <f t="shared" si="3"/>
        <v>4093.027954384378</v>
      </c>
      <c r="Z16" s="130">
        <f t="shared" si="4"/>
        <v>4075.1001194612127</v>
      </c>
      <c r="AA16" s="66">
        <f t="shared" si="19"/>
        <v>3742.5905281264622</v>
      </c>
      <c r="AB16" s="70">
        <f t="shared" si="5"/>
        <v>3624.187838269446</v>
      </c>
      <c r="AC16" s="65">
        <f>SUM(Q16:AB16)</f>
        <v>47938.0323190785</v>
      </c>
      <c r="AD16" s="70">
        <f t="shared" si="20"/>
        <v>265.55000484288485</v>
      </c>
      <c r="AE16" s="70">
        <f t="shared" si="21"/>
        <v>274.16275256157815</v>
      </c>
      <c r="AF16" s="70">
        <f t="shared" si="22"/>
        <v>413.8755488172062</v>
      </c>
      <c r="AG16" s="70">
        <f t="shared" si="23"/>
        <v>644.9870760658379</v>
      </c>
      <c r="AH16" s="70">
        <f t="shared" si="24"/>
        <v>138.6860851253326</v>
      </c>
      <c r="AI16" s="70">
        <f t="shared" si="25"/>
        <v>182.35795268486243</v>
      </c>
      <c r="AJ16" s="70">
        <f t="shared" si="26"/>
        <v>152.13175906712178</v>
      </c>
      <c r="AK16" s="70">
        <f t="shared" si="7"/>
        <v>63.440307738245046</v>
      </c>
      <c r="AL16" s="70">
        <f t="shared" si="8"/>
        <v>689.207001850931</v>
      </c>
      <c r="AM16" s="70">
        <f t="shared" si="9"/>
        <v>1037.865237730061</v>
      </c>
      <c r="AN16" s="70">
        <f t="shared" si="10"/>
        <v>362.96406155758666</v>
      </c>
      <c r="AO16" s="70">
        <f t="shared" si="11"/>
        <v>614.6131655749045</v>
      </c>
      <c r="AP16" s="65">
        <f>SUM(AD16:AO16)</f>
        <v>4839.840953616553</v>
      </c>
      <c r="AQ16" s="65"/>
      <c r="AR16" s="65"/>
      <c r="AS16" s="65">
        <f>P16+AC16+AP16+AQ16+AR16</f>
        <v>245046.83327269508</v>
      </c>
    </row>
    <row r="17" spans="1:45" s="32" customFormat="1" ht="12" customHeight="1">
      <c r="A17" s="8">
        <v>11</v>
      </c>
      <c r="B17" s="31" t="s">
        <v>24</v>
      </c>
      <c r="C17" s="61">
        <f>SUM(C6:C16)</f>
        <v>43191.39</v>
      </c>
      <c r="D17" s="63">
        <f aca="true" t="shared" si="28" ref="D17:O17">SUM(D6:D16)</f>
        <v>3186.14</v>
      </c>
      <c r="E17" s="63">
        <f t="shared" si="28"/>
        <v>60156.700000000004</v>
      </c>
      <c r="F17" s="63">
        <f t="shared" si="28"/>
        <v>0</v>
      </c>
      <c r="G17" s="63">
        <f t="shared" si="28"/>
        <v>5607.59</v>
      </c>
      <c r="H17" s="63">
        <f t="shared" si="28"/>
        <v>377107</v>
      </c>
      <c r="I17" s="63">
        <f t="shared" si="28"/>
        <v>6871.209999999999</v>
      </c>
      <c r="J17" s="63">
        <f t="shared" si="28"/>
        <v>255550.96999999997</v>
      </c>
      <c r="K17" s="63">
        <f t="shared" si="28"/>
        <v>659117.65</v>
      </c>
      <c r="L17" s="63">
        <f t="shared" si="28"/>
        <v>288247.18</v>
      </c>
      <c r="M17" s="63">
        <f t="shared" si="28"/>
        <v>67250.22</v>
      </c>
      <c r="N17" s="63">
        <f t="shared" si="28"/>
        <v>26494.46</v>
      </c>
      <c r="O17" s="63">
        <f t="shared" si="28"/>
        <v>32629.41</v>
      </c>
      <c r="P17" s="63">
        <f>SUM(P6:P16)</f>
        <v>1782218.5300000003</v>
      </c>
      <c r="Q17" s="63">
        <f aca="true" t="shared" si="29" ref="Q17:AB17">SUM(Q6:Q16)</f>
        <v>146356.12725561805</v>
      </c>
      <c r="R17" s="63">
        <f t="shared" si="29"/>
        <v>146059.12517515878</v>
      </c>
      <c r="S17" s="63">
        <f t="shared" si="29"/>
        <v>138205.35816902734</v>
      </c>
      <c r="T17" s="63">
        <f t="shared" si="29"/>
        <v>146344.38756630645</v>
      </c>
      <c r="U17" s="63">
        <f t="shared" si="29"/>
        <v>142618.86631671456</v>
      </c>
      <c r="V17" s="63">
        <f t="shared" si="29"/>
        <v>146356.12711192592</v>
      </c>
      <c r="W17" s="63">
        <f t="shared" si="29"/>
        <v>146356.12618532457</v>
      </c>
      <c r="X17" s="63">
        <f t="shared" si="29"/>
        <v>146356.1274819009</v>
      </c>
      <c r="Y17" s="63">
        <f t="shared" si="29"/>
        <v>146356.127708186</v>
      </c>
      <c r="Z17" s="63">
        <f t="shared" si="29"/>
        <v>145715.0745497937</v>
      </c>
      <c r="AA17" s="63">
        <f t="shared" si="29"/>
        <v>133825.38878269395</v>
      </c>
      <c r="AB17" s="63">
        <f t="shared" si="29"/>
        <v>129591.61383885467</v>
      </c>
      <c r="AC17" s="63">
        <f>SUM(AC6:AC16)</f>
        <v>1714140.4501415046</v>
      </c>
      <c r="AD17" s="63">
        <f>SUM(AD6:AD16)</f>
        <v>9495.383577838336</v>
      </c>
      <c r="AE17" s="63">
        <f aca="true" t="shared" si="30" ref="AE17:AO17">SUM(AE6:AE16)</f>
        <v>9803.353232354186</v>
      </c>
      <c r="AF17" s="63">
        <f t="shared" si="30"/>
        <v>14799.12264295719</v>
      </c>
      <c r="AG17" s="63">
        <f t="shared" si="30"/>
        <v>23063.075045383943</v>
      </c>
      <c r="AH17" s="63">
        <f t="shared" si="30"/>
        <v>4959.056867473664</v>
      </c>
      <c r="AI17" s="63">
        <f t="shared" si="30"/>
        <v>6520.650264105838</v>
      </c>
      <c r="AJ17" s="63">
        <f t="shared" si="30"/>
        <v>5439.83950430838</v>
      </c>
      <c r="AK17" s="63">
        <f t="shared" si="30"/>
        <v>2268.4618538310783</v>
      </c>
      <c r="AL17" s="63">
        <f t="shared" si="30"/>
        <v>24644.265591252813</v>
      </c>
      <c r="AM17" s="63">
        <f t="shared" si="30"/>
        <v>37111.3852556021</v>
      </c>
      <c r="AN17" s="63">
        <f t="shared" si="30"/>
        <v>12978.659109791979</v>
      </c>
      <c r="AO17" s="63">
        <f t="shared" si="30"/>
        <v>21976.982311019347</v>
      </c>
      <c r="AP17" s="63">
        <f>SUM(AP6:AP16)</f>
        <v>173060.23525591887</v>
      </c>
      <c r="AQ17" s="63">
        <f>SUM(AQ6:AQ16)</f>
        <v>0</v>
      </c>
      <c r="AR17" s="63">
        <f>SUM(AR6:AR16)</f>
        <v>0</v>
      </c>
      <c r="AS17" s="63">
        <f>SUM(AS6:AS16)</f>
        <v>3669419.2153974236</v>
      </c>
    </row>
    <row r="18" spans="4:46" ht="12.75" customHeight="1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40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3"/>
      <c r="AT18" s="35"/>
    </row>
    <row r="19" spans="4:45" ht="12.75" customHeight="1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6"/>
      <c r="R19" s="36"/>
      <c r="S19" s="36"/>
      <c r="T19" s="36"/>
      <c r="U19" s="36"/>
      <c r="V19" s="36"/>
      <c r="W19" s="36"/>
      <c r="X19" s="36"/>
      <c r="Y19" s="37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</row>
    <row r="20" ht="12.75" customHeight="1">
      <c r="A20" s="14" t="s">
        <v>44</v>
      </c>
    </row>
    <row r="21" ht="12.75" customHeight="1">
      <c r="A21" s="14" t="s">
        <v>45</v>
      </c>
    </row>
    <row r="22" ht="12.75" customHeight="1">
      <c r="A22" s="14" t="s">
        <v>46</v>
      </c>
    </row>
    <row r="23" ht="12.75" customHeight="1">
      <c r="A23" s="14" t="s">
        <v>47</v>
      </c>
    </row>
    <row r="24" ht="12.75" customHeight="1">
      <c r="A24" s="14" t="s">
        <v>48</v>
      </c>
    </row>
    <row r="25" ht="12.75" customHeight="1">
      <c r="A25" s="14"/>
    </row>
    <row r="26" ht="12.75" customHeight="1">
      <c r="A26" s="14" t="s">
        <v>49</v>
      </c>
    </row>
    <row r="27" ht="12.75" customHeight="1">
      <c r="A27" s="14" t="s">
        <v>50</v>
      </c>
    </row>
    <row r="28" ht="12.75" customHeight="1">
      <c r="A28" s="14" t="s">
        <v>51</v>
      </c>
    </row>
    <row r="29" ht="12.75" customHeight="1">
      <c r="A29" s="14" t="s">
        <v>52</v>
      </c>
    </row>
    <row r="30" ht="12.75" customHeight="1">
      <c r="A30" s="14"/>
    </row>
    <row r="31" ht="12.75" customHeight="1">
      <c r="A31" s="14" t="s">
        <v>53</v>
      </c>
    </row>
    <row r="32" ht="12.75" customHeight="1"/>
    <row r="33" spans="1:45" ht="12.75" customHeight="1" hidden="1">
      <c r="A33" s="169" t="s">
        <v>54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</row>
    <row r="34" spans="1:4" ht="13.5" customHeight="1" hidden="1">
      <c r="A34" s="158"/>
      <c r="B34" s="158"/>
      <c r="C34" s="158"/>
      <c r="D34" s="17"/>
    </row>
    <row r="35" spans="1:45" ht="34.5" customHeight="1" hidden="1">
      <c r="A35" s="18" t="s">
        <v>0</v>
      </c>
      <c r="B35" s="19" t="s">
        <v>1</v>
      </c>
      <c r="C35" s="20" t="s">
        <v>2</v>
      </c>
      <c r="D35" s="167" t="s">
        <v>55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 t="s">
        <v>56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 t="s">
        <v>57</v>
      </c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38"/>
      <c r="AR35" s="38"/>
      <c r="AS35" s="21" t="s">
        <v>29</v>
      </c>
    </row>
    <row r="36" spans="1:45" ht="12" customHeight="1" hidden="1">
      <c r="A36" s="23"/>
      <c r="B36" s="24" t="s">
        <v>8</v>
      </c>
      <c r="C36" s="23"/>
      <c r="D36" s="25" t="s">
        <v>30</v>
      </c>
      <c r="E36" s="25" t="s">
        <v>31</v>
      </c>
      <c r="F36" s="25" t="s">
        <v>32</v>
      </c>
      <c r="G36" s="25" t="s">
        <v>33</v>
      </c>
      <c r="H36" s="25" t="s">
        <v>34</v>
      </c>
      <c r="I36" s="25" t="s">
        <v>35</v>
      </c>
      <c r="J36" s="51" t="s">
        <v>36</v>
      </c>
      <c r="K36" s="51" t="s">
        <v>37</v>
      </c>
      <c r="L36" s="51" t="s">
        <v>38</v>
      </c>
      <c r="M36" s="51" t="s">
        <v>39</v>
      </c>
      <c r="N36" s="51" t="s">
        <v>40</v>
      </c>
      <c r="O36" s="25" t="s">
        <v>41</v>
      </c>
      <c r="P36" s="26" t="s">
        <v>42</v>
      </c>
      <c r="Q36" s="26" t="s">
        <v>30</v>
      </c>
      <c r="R36" s="26" t="s">
        <v>43</v>
      </c>
      <c r="S36" s="26" t="s">
        <v>32</v>
      </c>
      <c r="T36" s="27" t="s">
        <v>33</v>
      </c>
      <c r="U36" s="27" t="s">
        <v>34</v>
      </c>
      <c r="V36" s="27" t="s">
        <v>35</v>
      </c>
      <c r="W36" s="27" t="s">
        <v>36</v>
      </c>
      <c r="X36" s="27" t="s">
        <v>37</v>
      </c>
      <c r="Y36" s="11" t="s">
        <v>38</v>
      </c>
      <c r="Z36" s="27" t="s">
        <v>39</v>
      </c>
      <c r="AA36" s="27" t="s">
        <v>40</v>
      </c>
      <c r="AB36" s="27" t="s">
        <v>41</v>
      </c>
      <c r="AC36" s="27" t="s">
        <v>42</v>
      </c>
      <c r="AD36" s="27" t="s">
        <v>30</v>
      </c>
      <c r="AE36" s="27" t="s">
        <v>43</v>
      </c>
      <c r="AF36" s="27" t="s">
        <v>32</v>
      </c>
      <c r="AG36" s="27" t="s">
        <v>33</v>
      </c>
      <c r="AH36" s="27" t="s">
        <v>34</v>
      </c>
      <c r="AI36" s="27" t="s">
        <v>35</v>
      </c>
      <c r="AJ36" s="27" t="s">
        <v>36</v>
      </c>
      <c r="AK36" s="27" t="s">
        <v>37</v>
      </c>
      <c r="AL36" s="27" t="s">
        <v>38</v>
      </c>
      <c r="AM36" s="27" t="s">
        <v>39</v>
      </c>
      <c r="AN36" s="27" t="s">
        <v>40</v>
      </c>
      <c r="AO36" s="27" t="s">
        <v>41</v>
      </c>
      <c r="AP36" s="27" t="s">
        <v>42</v>
      </c>
      <c r="AQ36" s="27"/>
      <c r="AR36" s="27"/>
      <c r="AS36" s="28"/>
    </row>
    <row r="37" spans="1:45" ht="12" customHeight="1" hidden="1">
      <c r="A37" s="10">
        <v>1</v>
      </c>
      <c r="B37" s="29" t="s">
        <v>14</v>
      </c>
      <c r="C37" s="10">
        <v>1690.7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aca="true" t="shared" si="31" ref="P37:P46">SUM(D37:O37)</f>
        <v>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f aca="true" t="shared" si="32" ref="AC37:AC46">SUM(Q37:AB37)</f>
        <v>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f aca="true" t="shared" si="33" ref="AP37:AP46">SUM(AD37:AO37)</f>
        <v>0</v>
      </c>
      <c r="AQ37" s="30"/>
      <c r="AR37" s="30"/>
      <c r="AS37" s="30">
        <f aca="true" t="shared" si="34" ref="AS37:AS46">SUM(AP37,AC37,P37)</f>
        <v>0</v>
      </c>
    </row>
    <row r="38" spans="1:45" ht="12" customHeight="1" hidden="1">
      <c r="A38" s="10">
        <v>2</v>
      </c>
      <c r="B38" s="29" t="s">
        <v>15</v>
      </c>
      <c r="C38" s="10">
        <f>124+155.4</f>
        <v>279.4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31"/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>
        <f t="shared" si="32"/>
        <v>0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f t="shared" si="33"/>
        <v>0</v>
      </c>
      <c r="AQ38" s="30"/>
      <c r="AR38" s="30"/>
      <c r="AS38" s="30">
        <f t="shared" si="34"/>
        <v>0</v>
      </c>
    </row>
    <row r="39" spans="1:45" ht="12" customHeight="1" hidden="1">
      <c r="A39" s="10">
        <v>3</v>
      </c>
      <c r="B39" s="29" t="s">
        <v>16</v>
      </c>
      <c r="C39" s="10">
        <f>321.1</f>
        <v>321.1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31"/>
        <v>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f t="shared" si="32"/>
        <v>0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>
        <f t="shared" si="33"/>
        <v>0</v>
      </c>
      <c r="AQ39" s="30"/>
      <c r="AR39" s="30"/>
      <c r="AS39" s="30">
        <f t="shared" si="34"/>
        <v>0</v>
      </c>
    </row>
    <row r="40" spans="1:45" ht="12" customHeight="1" hidden="1">
      <c r="A40" s="10">
        <v>4</v>
      </c>
      <c r="B40" s="29" t="s">
        <v>17</v>
      </c>
      <c r="C40" s="10">
        <f>12.6+32.4+8805.6</f>
        <v>8850.6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31"/>
        <v>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>
        <f t="shared" si="32"/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>
        <f t="shared" si="33"/>
        <v>0</v>
      </c>
      <c r="AQ40" s="30"/>
      <c r="AR40" s="30"/>
      <c r="AS40" s="30">
        <f t="shared" si="34"/>
        <v>0</v>
      </c>
    </row>
    <row r="41" spans="1:45" ht="12" customHeight="1" hidden="1">
      <c r="A41" s="10">
        <v>5</v>
      </c>
      <c r="B41" s="29" t="s">
        <v>18</v>
      </c>
      <c r="C41" s="10">
        <v>6249.4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f t="shared" si="31"/>
        <v>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>
        <f t="shared" si="32"/>
        <v>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>
        <f t="shared" si="33"/>
        <v>0</v>
      </c>
      <c r="AQ41" s="30"/>
      <c r="AR41" s="30"/>
      <c r="AS41" s="30">
        <f t="shared" si="34"/>
        <v>0</v>
      </c>
    </row>
    <row r="42" spans="1:45" ht="12" customHeight="1" hidden="1">
      <c r="A42" s="10">
        <v>6</v>
      </c>
      <c r="B42" s="29" t="s">
        <v>19</v>
      </c>
      <c r="C42" s="10">
        <v>6220.6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f t="shared" si="31"/>
        <v>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>
        <f t="shared" si="32"/>
        <v>0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f t="shared" si="33"/>
        <v>0</v>
      </c>
      <c r="AQ42" s="30"/>
      <c r="AR42" s="30"/>
      <c r="AS42" s="30">
        <f t="shared" si="34"/>
        <v>0</v>
      </c>
    </row>
    <row r="43" spans="1:45" ht="12" customHeight="1" hidden="1">
      <c r="A43" s="10">
        <v>7</v>
      </c>
      <c r="B43" s="29" t="s">
        <v>20</v>
      </c>
      <c r="C43" s="10">
        <v>6171.9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31"/>
        <v>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>
        <f t="shared" si="32"/>
        <v>0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>
        <f t="shared" si="33"/>
        <v>0</v>
      </c>
      <c r="AQ43" s="30"/>
      <c r="AR43" s="30"/>
      <c r="AS43" s="30">
        <f t="shared" si="34"/>
        <v>0</v>
      </c>
    </row>
    <row r="44" spans="1:45" ht="12" customHeight="1" hidden="1">
      <c r="A44" s="10">
        <v>8</v>
      </c>
      <c r="B44" s="29" t="s">
        <v>21</v>
      </c>
      <c r="C44" s="10">
        <v>6120.5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31"/>
        <v>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>
        <f t="shared" si="32"/>
        <v>0</v>
      </c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>
        <f t="shared" si="33"/>
        <v>0</v>
      </c>
      <c r="AQ44" s="30"/>
      <c r="AR44" s="30"/>
      <c r="AS44" s="30">
        <f t="shared" si="34"/>
        <v>0</v>
      </c>
    </row>
    <row r="45" spans="1:45" ht="12" customHeight="1" hidden="1">
      <c r="A45" s="10">
        <v>9</v>
      </c>
      <c r="B45" s="29" t="s">
        <v>22</v>
      </c>
      <c r="C45" s="10">
        <f>3849.75+16.8</f>
        <v>3866.55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31"/>
        <v>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>
        <f t="shared" si="32"/>
        <v>0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>
        <f t="shared" si="33"/>
        <v>0</v>
      </c>
      <c r="AQ45" s="30"/>
      <c r="AR45" s="30"/>
      <c r="AS45" s="30">
        <f t="shared" si="34"/>
        <v>0</v>
      </c>
    </row>
    <row r="46" spans="1:45" ht="12" customHeight="1" hidden="1">
      <c r="A46" s="10">
        <v>10</v>
      </c>
      <c r="B46" s="29" t="s">
        <v>23</v>
      </c>
      <c r="C46" s="10">
        <v>1668.9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31"/>
        <v>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>
        <f t="shared" si="32"/>
        <v>0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>
        <f t="shared" si="33"/>
        <v>0</v>
      </c>
      <c r="AQ46" s="30"/>
      <c r="AR46" s="30"/>
      <c r="AS46" s="30">
        <f t="shared" si="34"/>
        <v>0</v>
      </c>
    </row>
    <row r="47" spans="1:45" ht="12" customHeight="1" hidden="1">
      <c r="A47" s="8">
        <v>10</v>
      </c>
      <c r="B47" s="31" t="s">
        <v>24</v>
      </c>
      <c r="C47" s="8">
        <f aca="true" t="shared" si="35" ref="C47:AP47">SUM(C37:C46)</f>
        <v>41439.65</v>
      </c>
      <c r="D47" s="39">
        <f t="shared" si="35"/>
        <v>0</v>
      </c>
      <c r="E47" s="39">
        <f t="shared" si="35"/>
        <v>0</v>
      </c>
      <c r="F47" s="39">
        <f t="shared" si="35"/>
        <v>0</v>
      </c>
      <c r="G47" s="39">
        <f t="shared" si="35"/>
        <v>0</v>
      </c>
      <c r="H47" s="39">
        <f t="shared" si="35"/>
        <v>0</v>
      </c>
      <c r="I47" s="39">
        <f t="shared" si="35"/>
        <v>0</v>
      </c>
      <c r="J47" s="39">
        <f t="shared" si="35"/>
        <v>0</v>
      </c>
      <c r="K47" s="39">
        <f t="shared" si="35"/>
        <v>0</v>
      </c>
      <c r="L47" s="39">
        <f t="shared" si="35"/>
        <v>0</v>
      </c>
      <c r="M47" s="39">
        <f t="shared" si="35"/>
        <v>0</v>
      </c>
      <c r="N47" s="39">
        <f t="shared" si="35"/>
        <v>0</v>
      </c>
      <c r="O47" s="39">
        <f t="shared" si="35"/>
        <v>0</v>
      </c>
      <c r="P47" s="39">
        <f t="shared" si="35"/>
        <v>0</v>
      </c>
      <c r="Q47" s="39">
        <f t="shared" si="35"/>
        <v>0</v>
      </c>
      <c r="R47" s="39">
        <f t="shared" si="35"/>
        <v>0</v>
      </c>
      <c r="S47" s="39">
        <f t="shared" si="35"/>
        <v>0</v>
      </c>
      <c r="T47" s="39">
        <f t="shared" si="35"/>
        <v>0</v>
      </c>
      <c r="U47" s="39">
        <f t="shared" si="35"/>
        <v>0</v>
      </c>
      <c r="V47" s="39">
        <f t="shared" si="35"/>
        <v>0</v>
      </c>
      <c r="W47" s="39">
        <f t="shared" si="35"/>
        <v>0</v>
      </c>
      <c r="X47" s="39">
        <f t="shared" si="35"/>
        <v>0</v>
      </c>
      <c r="Y47" s="30">
        <f t="shared" si="35"/>
        <v>0</v>
      </c>
      <c r="Z47" s="39">
        <f t="shared" si="35"/>
        <v>0</v>
      </c>
      <c r="AA47" s="39">
        <f t="shared" si="35"/>
        <v>0</v>
      </c>
      <c r="AB47" s="39">
        <f t="shared" si="35"/>
        <v>0</v>
      </c>
      <c r="AC47" s="39">
        <f t="shared" si="35"/>
        <v>0</v>
      </c>
      <c r="AD47" s="39">
        <f t="shared" si="35"/>
        <v>0</v>
      </c>
      <c r="AE47" s="39">
        <f t="shared" si="35"/>
        <v>0</v>
      </c>
      <c r="AF47" s="39">
        <f t="shared" si="35"/>
        <v>0</v>
      </c>
      <c r="AG47" s="39">
        <f t="shared" si="35"/>
        <v>0</v>
      </c>
      <c r="AH47" s="39">
        <f t="shared" si="35"/>
        <v>0</v>
      </c>
      <c r="AI47" s="39">
        <f t="shared" si="35"/>
        <v>0</v>
      </c>
      <c r="AJ47" s="39">
        <f t="shared" si="35"/>
        <v>0</v>
      </c>
      <c r="AK47" s="39">
        <f t="shared" si="35"/>
        <v>0</v>
      </c>
      <c r="AL47" s="39">
        <f t="shared" si="35"/>
        <v>0</v>
      </c>
      <c r="AM47" s="39">
        <f t="shared" si="35"/>
        <v>0</v>
      </c>
      <c r="AN47" s="39">
        <f t="shared" si="35"/>
        <v>0</v>
      </c>
      <c r="AO47" s="39">
        <f t="shared" si="35"/>
        <v>0</v>
      </c>
      <c r="AP47" s="39">
        <f t="shared" si="35"/>
        <v>0</v>
      </c>
      <c r="AQ47" s="39"/>
      <c r="AR47" s="39"/>
      <c r="AS47" s="39">
        <f>SUM(AS37:AS46)</f>
        <v>0</v>
      </c>
    </row>
    <row r="65521" ht="12.75" customHeight="1"/>
  </sheetData>
  <sheetProtection selectLockedCells="1" selectUnlockedCells="1"/>
  <autoFilter ref="A1:C17"/>
  <mergeCells count="10">
    <mergeCell ref="A34:C34"/>
    <mergeCell ref="D35:P35"/>
    <mergeCell ref="Q35:AC35"/>
    <mergeCell ref="AD35:AP35"/>
    <mergeCell ref="A33:AS33"/>
    <mergeCell ref="A2:AS2"/>
    <mergeCell ref="A3:C3"/>
    <mergeCell ref="D4:P4"/>
    <mergeCell ref="Q4:AC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2018-02-09T04:04:50Z</cp:lastPrinted>
  <dcterms:modified xsi:type="dcterms:W3CDTF">2019-01-16T05:49:37Z</dcterms:modified>
  <cp:category/>
  <cp:version/>
  <cp:contentType/>
  <cp:contentStatus/>
</cp:coreProperties>
</file>