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8" activeTab="0"/>
  </bookViews>
  <sheets>
    <sheet name="125 по видам работ" sheetId="1" r:id="rId1"/>
    <sheet name="140 по видам" sheetId="2" r:id="rId2"/>
    <sheet name="141 по видам" sheetId="3" r:id="rId3"/>
    <sheet name="Строит. по видам работ" sheetId="4" r:id="rId4"/>
    <sheet name="Промышл. по видам работ" sheetId="5" r:id="rId5"/>
    <sheet name="Автод. по видам работ" sheetId="6" r:id="rId6"/>
    <sheet name="125" sheetId="7" r:id="rId7"/>
    <sheet name="140" sheetId="8" r:id="rId8"/>
    <sheet name="141" sheetId="9" r:id="rId9"/>
    <sheet name="Строит." sheetId="10" r:id="rId10"/>
    <sheet name="Промышленный" sheetId="11" r:id="rId11"/>
    <sheet name="Автодорожный" sheetId="12" r:id="rId12"/>
  </sheets>
  <definedNames>
    <definedName name="_xlnm._FilterDatabase" localSheetId="6" hidden="1">'125'!$A$1:$I$10</definedName>
    <definedName name="_xlnm._FilterDatabase" localSheetId="0" hidden="1">'125 по видам работ'!$A$1:$AN$15</definedName>
    <definedName name="_xlnm._FilterDatabase" localSheetId="7" hidden="1">'140'!$A$1:$I$19</definedName>
    <definedName name="_xlnm._FilterDatabase" localSheetId="1" hidden="1">'140 по видам'!$A$1:$BO$59</definedName>
    <definedName name="_xlnm._FilterDatabase" localSheetId="8" hidden="1">'141'!$A$1:$I$17</definedName>
    <definedName name="_xlnm._FilterDatabase" localSheetId="2" hidden="1">'141 по видам'!$A$1:$BM$34</definedName>
    <definedName name="_xlnm._FilterDatabase" localSheetId="5" hidden="1">'Автод. по видам работ'!$A$1:$AN$19</definedName>
    <definedName name="_xlnm._FilterDatabase" localSheetId="11" hidden="1">'Автодорожный'!$A$1:$I$14</definedName>
    <definedName name="_xlnm.Print_Area" localSheetId="6">'125'!$A$2:$AQ$23</definedName>
    <definedName name="_xlnm.Print_Area" localSheetId="7">'140'!$A$2:$AS$32</definedName>
    <definedName name="_xlnm.Print_Area" localSheetId="8">'141'!$A$2:$AS$30</definedName>
    <definedName name="_xlnm.Print_Area" localSheetId="2">'141 по видам'!$A$1:$BM$34</definedName>
    <definedName name="_xlnm.Print_Area" localSheetId="11">'Автодорожный'!$A$2:$AS$27</definedName>
    <definedName name="_xlnm.Print_Area" localSheetId="10">'Промышленный'!$A$2:$AS$22</definedName>
    <definedName name="_xlnm.Print_Area" localSheetId="9">'Строит.'!$A$2:$AR$22</definedName>
  </definedNames>
  <calcPr fullCalcOnLoad="1"/>
</workbook>
</file>

<file path=xl/sharedStrings.xml><?xml version="1.0" encoding="utf-8"?>
<sst xmlns="http://schemas.openxmlformats.org/spreadsheetml/2006/main" count="1160" uniqueCount="222">
  <si>
    <t>№</t>
  </si>
  <si>
    <t xml:space="preserve">Адрес дома </t>
  </si>
  <si>
    <t>Общая площадь,кв.м.</t>
  </si>
  <si>
    <t>Итого:</t>
  </si>
  <si>
    <t>Квартал 125</t>
  </si>
  <si>
    <t>Ленина 6</t>
  </si>
  <si>
    <t>Чиряева 6</t>
  </si>
  <si>
    <t>Чиряева 8</t>
  </si>
  <si>
    <t>Квартал 140</t>
  </si>
  <si>
    <t>Дзержинского 20/1</t>
  </si>
  <si>
    <t>Дзержинского 20/2</t>
  </si>
  <si>
    <t>Дзержинского 20/3</t>
  </si>
  <si>
    <t>Дзержинского 22</t>
  </si>
  <si>
    <t>Дзержинского 22/1</t>
  </si>
  <si>
    <t>Дзержинского 22/2</t>
  </si>
  <si>
    <t>Дзержинского 22/3</t>
  </si>
  <si>
    <t>Дзержинского 22/4</t>
  </si>
  <si>
    <t>Дзержинского 22/5</t>
  </si>
  <si>
    <t>Дзержинского 22/6</t>
  </si>
  <si>
    <t>Дзержинского 26</t>
  </si>
  <si>
    <t>Дзержинского 26/1</t>
  </si>
  <si>
    <t>Итого</t>
  </si>
  <si>
    <t>Квартал 141</t>
  </si>
  <si>
    <t>Богатырева 11</t>
  </si>
  <si>
    <t>Богатырева 11/1</t>
  </si>
  <si>
    <t>Богатырева 11/3</t>
  </si>
  <si>
    <t>Дзержинского 12/1</t>
  </si>
  <si>
    <t>Дзержинского 14/1</t>
  </si>
  <si>
    <t>Дзержинского 14/2</t>
  </si>
  <si>
    <t>Дзержинского 16</t>
  </si>
  <si>
    <t>Дзержинского 8</t>
  </si>
  <si>
    <t>Чиряева 1</t>
  </si>
  <si>
    <t>Чиряева 1/1</t>
  </si>
  <si>
    <t>АВТОДОРОЖНЫЙ ОКРУГ</t>
  </si>
  <si>
    <t>Сергеляхское шоссе 1</t>
  </si>
  <si>
    <t>Чернышевского 118</t>
  </si>
  <si>
    <t>Чернышевского 118/1</t>
  </si>
  <si>
    <t>Дзержинского 8/1</t>
  </si>
  <si>
    <t>Текущий ремонт</t>
  </si>
  <si>
    <t>АЗР</t>
  </si>
  <si>
    <t>Профилактический ремонт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</si>
  <si>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</si>
  <si>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</si>
  <si>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</si>
  <si>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</si>
  <si>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</si>
  <si>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</si>
  <si>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</si>
  <si>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</si>
  <si>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</si>
  <si>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</si>
  <si>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</si>
  <si>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</si>
  <si>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</si>
  <si>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</si>
  <si>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Замена задвижки</t>
  </si>
  <si>
    <t>Косметический ремонт подъезда</t>
  </si>
  <si>
    <t>Ремонт кровли, м2</t>
  </si>
  <si>
    <t>Промывка системы отопления</t>
  </si>
  <si>
    <t>Замена общедомовых вентилей и сборок в техэтажах, галереях, чердаках, подъездах и эл.узлах</t>
  </si>
  <si>
    <t>Замена общедомовых трубопроводов ХГВС, ЦО и КНС на черную трубу в техэтажах, галереях, чердаках, подъездах и эл.узлах</t>
  </si>
  <si>
    <t>Замена трубопроводов ХГВС на ППРС</t>
  </si>
  <si>
    <t>Замена трубопроводов КНС на ПВХ</t>
  </si>
  <si>
    <t>диаметр</t>
  </si>
  <si>
    <t xml:space="preserve">диаметр </t>
  </si>
  <si>
    <t>кол-во, м</t>
  </si>
  <si>
    <t>Аварийно-заявочный ремонт включает:</t>
  </si>
  <si>
    <t>- круглосуточное аварийное прикрытие;</t>
  </si>
  <si>
    <t>- устранение течей системы ХГВС, КНС, отопления;</t>
  </si>
  <si>
    <t>- замена аварийных участков трубопровода ХГВС, КНС, отопления до 5 метров;</t>
  </si>
  <si>
    <t>- прочистка труб КНС;</t>
  </si>
  <si>
    <t>Профилактический ремонт:</t>
  </si>
  <si>
    <t>- поддержание нормального состояния инженерных реконструкций;</t>
  </si>
  <si>
    <t>- прочистка вентканалов, системы КНС;</t>
  </si>
  <si>
    <t>- мелкие плотницкие работы;</t>
  </si>
  <si>
    <t>Текущий ремонт: см. Приложение 1.</t>
  </si>
  <si>
    <t>кол-во, м3</t>
  </si>
  <si>
    <t>кол-во, шт</t>
  </si>
  <si>
    <t>Чернышевского 118/3</t>
  </si>
  <si>
    <t>Покровский 4 км 1</t>
  </si>
  <si>
    <t>Покровский 4 км 2</t>
  </si>
  <si>
    <t>ПРОМЫШЛЕННЫЙ ОКРУГ</t>
  </si>
  <si>
    <t>Б.-Марлинского 22/2</t>
  </si>
  <si>
    <t>Ф.-Попова 14/4</t>
  </si>
  <si>
    <t>Дзержинского 7</t>
  </si>
  <si>
    <t>Дзержинского 7/1</t>
  </si>
  <si>
    <t>подъезд</t>
  </si>
  <si>
    <t>СТРОИТЕЛЬНЫЙ ОКРУГ</t>
  </si>
  <si>
    <t>Промышленный ОКРУГ</t>
  </si>
  <si>
    <t>Обслуживание ОДПУ</t>
  </si>
  <si>
    <t>квартира</t>
  </si>
  <si>
    <t>Оформление техпаспортов МКД</t>
  </si>
  <si>
    <t>всего</t>
  </si>
  <si>
    <t>Оформление техпаспортов</t>
  </si>
  <si>
    <t>Сброс снега с крыши</t>
  </si>
  <si>
    <t>Дзержинского 26/2</t>
  </si>
  <si>
    <t>кол-во, м2</t>
  </si>
  <si>
    <t>Ремонт кровли балкона</t>
  </si>
  <si>
    <t>Утепление межпанельных швов</t>
  </si>
  <si>
    <t>Сергеляхское шоссе 1/1</t>
  </si>
  <si>
    <t>да</t>
  </si>
  <si>
    <t>Ленина 6/1</t>
  </si>
  <si>
    <t>Промывка центральной канализации</t>
  </si>
  <si>
    <t>Ремонт, утепление входных дверей</t>
  </si>
  <si>
    <t>Ревизия эл/узла</t>
  </si>
  <si>
    <t>Ревизия запорной арматуры с заменой</t>
  </si>
  <si>
    <t>Ревизия задвижек и грязевиков</t>
  </si>
  <si>
    <t>Ремонт кровли</t>
  </si>
  <si>
    <t>Замена труб отопления на ППРС</t>
  </si>
  <si>
    <t>Установка греющего кабеля</t>
  </si>
  <si>
    <t>Утепление трубопроводов ХГВС, КНС, отопления</t>
  </si>
  <si>
    <t>Генеральная уборка в подъездах</t>
  </si>
  <si>
    <t>Мытье окон, мытье фасада, уборка под домом</t>
  </si>
  <si>
    <t>Утепление т/э</t>
  </si>
  <si>
    <t>Замена стекол</t>
  </si>
  <si>
    <t>Установка ПУ</t>
  </si>
  <si>
    <t>Установка входных дверей</t>
  </si>
  <si>
    <t>Ревизия вентилей</t>
  </si>
  <si>
    <t>Утепление подъезда</t>
  </si>
  <si>
    <t>Восстановление регистра</t>
  </si>
  <si>
    <t>Ремонт тамбура</t>
  </si>
  <si>
    <t>Монтаж обратки ГВС</t>
  </si>
  <si>
    <t>Замена сгонов</t>
  </si>
  <si>
    <t>Устройство сан/точек</t>
  </si>
  <si>
    <t>площадь, м2</t>
  </si>
  <si>
    <t>Замена элеватора</t>
  </si>
  <si>
    <t>Установка манометра</t>
  </si>
  <si>
    <t>Установка насоса в систему отопления</t>
  </si>
  <si>
    <t>Установка циркуляционного насоса</t>
  </si>
  <si>
    <t>Установка почтовых ящиков</t>
  </si>
  <si>
    <t>Устройство навесов с перилами</t>
  </si>
  <si>
    <t>Усиление фундамента</t>
  </si>
  <si>
    <t>Установка домофона</t>
  </si>
  <si>
    <t>Установка стеклопакета</t>
  </si>
  <si>
    <t>Ремонт окон</t>
  </si>
  <si>
    <t>Выполнение по техническому обслуживанию ООО "Одун Сервис" за 2018 год</t>
  </si>
  <si>
    <t>кв.13</t>
  </si>
  <si>
    <t>кв.17</t>
  </si>
  <si>
    <t>кв.30</t>
  </si>
  <si>
    <t>Уборка и вывоз снега</t>
  </si>
  <si>
    <t>Замена поддона в общей душевой</t>
  </si>
  <si>
    <t>кв.419</t>
  </si>
  <si>
    <t>Аренда техники для уборки снега</t>
  </si>
  <si>
    <t>Замена трубопровода КНС на ПВХ</t>
  </si>
  <si>
    <t>д=110</t>
  </si>
  <si>
    <t>кв.11,15,19</t>
  </si>
  <si>
    <t>д=50</t>
  </si>
  <si>
    <t>д=20</t>
  </si>
  <si>
    <t>Прокладка труб ППРС для полива цветов</t>
  </si>
  <si>
    <t>д=100</t>
  </si>
  <si>
    <t>д=40</t>
  </si>
  <si>
    <t>д=25</t>
  </si>
  <si>
    <t>п.2</t>
  </si>
  <si>
    <t>п.1,2(тамбур)</t>
  </si>
  <si>
    <t>Ремонт ограждения санитарной точки</t>
  </si>
  <si>
    <t>кв.14</t>
  </si>
  <si>
    <t>кв.19</t>
  </si>
  <si>
    <t>кв.24</t>
  </si>
  <si>
    <t>п.1,2</t>
  </si>
  <si>
    <t xml:space="preserve">Ревизия задвижек </t>
  </si>
  <si>
    <t>Закрытие грязевиков</t>
  </si>
  <si>
    <t>Ревизия задвижек</t>
  </si>
  <si>
    <t>Ремонт детской площадки</t>
  </si>
  <si>
    <t>п.1</t>
  </si>
  <si>
    <t>д=80</t>
  </si>
  <si>
    <t>кв.19,30,31</t>
  </si>
  <si>
    <t>кв.26</t>
  </si>
  <si>
    <t>кв.221,321,421</t>
  </si>
  <si>
    <t>д=63</t>
  </si>
  <si>
    <t>э/у</t>
  </si>
  <si>
    <t>Замена радиатора</t>
  </si>
  <si>
    <t>с/узел общий</t>
  </si>
  <si>
    <t>п.2 (консъерж)</t>
  </si>
  <si>
    <t>Установка регистров</t>
  </si>
  <si>
    <t>п.1 (т/э)</t>
  </si>
  <si>
    <t>Замена унитаза</t>
  </si>
  <si>
    <t>п.1 (эт.4)</t>
  </si>
  <si>
    <t>Установка душевого поддона</t>
  </si>
  <si>
    <t>кв.214</t>
  </si>
  <si>
    <t>п.1 (эт.1)</t>
  </si>
  <si>
    <t>т/э</t>
  </si>
  <si>
    <t>п.3,4</t>
  </si>
  <si>
    <t>кв.209-409, 229-329</t>
  </si>
  <si>
    <t>кв.229</t>
  </si>
  <si>
    <t>кв.7-19</t>
  </si>
  <si>
    <t>под домом</t>
  </si>
  <si>
    <t>п.3</t>
  </si>
  <si>
    <t>д=32</t>
  </si>
  <si>
    <t>Замена входных дверей</t>
  </si>
  <si>
    <t>д=108</t>
  </si>
  <si>
    <t>п.5,6</t>
  </si>
  <si>
    <t>Установка цикуляционного насоса</t>
  </si>
  <si>
    <t>кв.106а, 240-440</t>
  </si>
  <si>
    <t>д=159</t>
  </si>
  <si>
    <t>кв.10</t>
  </si>
  <si>
    <t>кв.64</t>
  </si>
  <si>
    <t>кв.76</t>
  </si>
  <si>
    <t>кв.21</t>
  </si>
  <si>
    <t>кв.51</t>
  </si>
  <si>
    <t>кв.6</t>
  </si>
  <si>
    <t>кв.67</t>
  </si>
  <si>
    <t>кв.41</t>
  </si>
  <si>
    <t>кв.66</t>
  </si>
  <si>
    <t>кв.9</t>
  </si>
  <si>
    <t>кв.49</t>
  </si>
  <si>
    <t>кв.79</t>
  </si>
  <si>
    <t>п.1,2,3</t>
  </si>
  <si>
    <t>п.1,2,3,4</t>
  </si>
  <si>
    <t xml:space="preserve">Утепление цокольного перекрытия </t>
  </si>
  <si>
    <t>м2</t>
  </si>
  <si>
    <t>Реконструкция детских качелей</t>
  </si>
  <si>
    <t>Изготовлениекарусели на детской площадке</t>
  </si>
  <si>
    <t xml:space="preserve">Проведение испытаний и электрических испытаний в электроустановках </t>
  </si>
  <si>
    <t>п.1,2,4</t>
  </si>
  <si>
    <t>Замена почтовых ящиков</t>
  </si>
  <si>
    <t>п.4</t>
  </si>
  <si>
    <t>п.2,4,6</t>
  </si>
  <si>
    <t>Замена газового крана, переопрессовка</t>
  </si>
  <si>
    <t>Изготовление и установка скамеек, качелей, вывесок и игрового домика на детской площадке</t>
  </si>
  <si>
    <t>Покупка ПУ</t>
  </si>
  <si>
    <t>Укладка напольных плиток</t>
  </si>
  <si>
    <t>Поверка ПУ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</si>
</sst>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0.000000"/>
    <numFmt numFmtId="201" formatCode="mmm/yyyy"/>
    <numFmt numFmtId="202" formatCode="0.0000000"/>
    <numFmt numFmtId="203" formatCode="_(* #,##0.0_);_(* \(#,##0.0\);_(* &quot;-&quot;??_);_(@_)"/>
    <numFmt numFmtId="204" formatCode="_(* #,##0_);_(* \(#,##0\);_(* &quot;-&quot;??_);_(@_)"/>
    <numFmt numFmtId="205" formatCode="[$-FC19]d\ mmmm\ yyyy\ &quot;г.&quot;"/>
    <numFmt numFmtId="206" formatCode="#,##0.00_р_."/>
    <numFmt numFmtId="207" formatCode="#,##0.00&quot;р.&quot;"/>
  </numFmts>
  <fonts count="52">
    <font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b/>
      <i/>
      <sz val="10"/>
      <color indexed="1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i/>
      <sz val="10"/>
      <color indexed="61"/>
      <name val="Arial"/>
      <family val="2"/>
    </font>
    <font>
      <sz val="8"/>
      <color indexed="8"/>
      <name val="Arial"/>
      <family val="2"/>
    </font>
    <font>
      <b/>
      <i/>
      <sz val="9"/>
      <color indexed="6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i/>
      <sz val="9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195" fontId="1" fillId="0" borderId="15" xfId="60" applyFont="1" applyBorder="1" applyAlignment="1">
      <alignment/>
    </xf>
    <xf numFmtId="195" fontId="5" fillId="0" borderId="15" xfId="6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195" fontId="1" fillId="0" borderId="22" xfId="60" applyFont="1" applyBorder="1" applyAlignment="1">
      <alignment/>
    </xf>
    <xf numFmtId="0" fontId="5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1" fillId="0" borderId="25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Fill="1" applyBorder="1" applyAlignment="1">
      <alignment vertical="center" wrapText="1"/>
    </xf>
    <xf numFmtId="0" fontId="1" fillId="32" borderId="0" xfId="0" applyFont="1" applyFill="1" applyAlignment="1">
      <alignment/>
    </xf>
    <xf numFmtId="0" fontId="1" fillId="0" borderId="0" xfId="0" applyFont="1" applyFill="1" applyAlignment="1">
      <alignment/>
    </xf>
    <xf numFmtId="195" fontId="1" fillId="33" borderId="15" xfId="60" applyFont="1" applyFill="1" applyBorder="1" applyAlignment="1">
      <alignment/>
    </xf>
    <xf numFmtId="0" fontId="0" fillId="33" borderId="0" xfId="0" applyFill="1" applyAlignment="1">
      <alignment/>
    </xf>
    <xf numFmtId="0" fontId="5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195" fontId="1" fillId="0" borderId="24" xfId="60" applyFont="1" applyBorder="1" applyAlignment="1">
      <alignment/>
    </xf>
    <xf numFmtId="195" fontId="1" fillId="0" borderId="14" xfId="60" applyFont="1" applyBorder="1" applyAlignment="1">
      <alignment/>
    </xf>
    <xf numFmtId="195" fontId="1" fillId="0" borderId="30" xfId="60" applyFont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4" borderId="15" xfId="0" applyFont="1" applyFill="1" applyBorder="1" applyAlignment="1">
      <alignment horizontal="center" vertical="center" wrapText="1"/>
    </xf>
    <xf numFmtId="0" fontId="0" fillId="10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195" fontId="1" fillId="0" borderId="34" xfId="60" applyFont="1" applyBorder="1" applyAlignment="1">
      <alignment/>
    </xf>
    <xf numFmtId="195" fontId="1" fillId="0" borderId="34" xfId="60" applyFont="1" applyBorder="1" applyAlignment="1">
      <alignment horizontal="center"/>
    </xf>
    <xf numFmtId="195" fontId="5" fillId="0" borderId="27" xfId="60" applyFont="1" applyFill="1" applyBorder="1" applyAlignment="1">
      <alignment horizontal="center" vertical="center" wrapText="1"/>
    </xf>
    <xf numFmtId="195" fontId="9" fillId="0" borderId="28" xfId="60" applyFont="1" applyFill="1" applyBorder="1" applyAlignment="1">
      <alignment horizontal="left" vertical="center" wrapText="1"/>
    </xf>
    <xf numFmtId="195" fontId="0" fillId="0" borderId="0" xfId="60" applyFont="1" applyAlignment="1">
      <alignment/>
    </xf>
    <xf numFmtId="204" fontId="5" fillId="0" borderId="27" xfId="6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204" fontId="5" fillId="0" borderId="27" xfId="6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195" fontId="1" fillId="0" borderId="0" xfId="60" applyFont="1" applyAlignment="1">
      <alignment/>
    </xf>
    <xf numFmtId="195" fontId="1" fillId="0" borderId="0" xfId="60" applyFont="1" applyFill="1" applyAlignment="1">
      <alignment/>
    </xf>
    <xf numFmtId="171" fontId="0" fillId="0" borderId="0" xfId="0" applyNumberFormat="1" applyAlignment="1">
      <alignment/>
    </xf>
    <xf numFmtId="0" fontId="1" fillId="0" borderId="3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1" fillId="37" borderId="15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195" fontId="5" fillId="37" borderId="27" xfId="6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5" fillId="37" borderId="27" xfId="0" applyFont="1" applyFill="1" applyBorder="1" applyAlignment="1">
      <alignment horizontal="center" vertical="center" wrapText="1"/>
    </xf>
    <xf numFmtId="195" fontId="1" fillId="37" borderId="15" xfId="60" applyFont="1" applyFill="1" applyBorder="1" applyAlignment="1">
      <alignment/>
    </xf>
    <xf numFmtId="195" fontId="5" fillId="37" borderId="15" xfId="60" applyFont="1" applyFill="1" applyBorder="1" applyAlignment="1">
      <alignment horizontal="center"/>
    </xf>
    <xf numFmtId="195" fontId="1" fillId="37" borderId="15" xfId="60" applyFont="1" applyFill="1" applyBorder="1" applyAlignment="1">
      <alignment horizontal="center" vertical="center" wrapText="1"/>
    </xf>
    <xf numFmtId="195" fontId="1" fillId="37" borderId="15" xfId="60" applyFont="1" applyFill="1" applyBorder="1" applyAlignment="1">
      <alignment/>
    </xf>
    <xf numFmtId="195" fontId="5" fillId="37" borderId="15" xfId="60" applyFont="1" applyFill="1" applyBorder="1" applyAlignment="1">
      <alignment horizontal="center" vertical="center" wrapText="1"/>
    </xf>
    <xf numFmtId="195" fontId="1" fillId="37" borderId="13" xfId="60" applyFont="1" applyFill="1" applyBorder="1" applyAlignment="1">
      <alignment/>
    </xf>
    <xf numFmtId="171" fontId="5" fillId="37" borderId="27" xfId="0" applyNumberFormat="1" applyFont="1" applyFill="1" applyBorder="1" applyAlignment="1">
      <alignment horizontal="center" vertical="center" wrapText="1"/>
    </xf>
    <xf numFmtId="2" fontId="1" fillId="37" borderId="15" xfId="60" applyNumberFormat="1" applyFont="1" applyFill="1" applyBorder="1" applyAlignment="1">
      <alignment/>
    </xf>
    <xf numFmtId="195" fontId="1" fillId="37" borderId="15" xfId="60" applyFont="1" applyFill="1" applyBorder="1" applyAlignment="1">
      <alignment horizontal="center"/>
    </xf>
    <xf numFmtId="0" fontId="1" fillId="37" borderId="0" xfId="0" applyFont="1" applyFill="1" applyAlignment="1">
      <alignment horizontal="center"/>
    </xf>
    <xf numFmtId="4" fontId="1" fillId="37" borderId="0" xfId="0" applyNumberFormat="1" applyFont="1" applyFill="1" applyAlignment="1">
      <alignment/>
    </xf>
    <xf numFmtId="0" fontId="1" fillId="37" borderId="15" xfId="0" applyFont="1" applyFill="1" applyBorder="1" applyAlignment="1">
      <alignment/>
    </xf>
    <xf numFmtId="4" fontId="1" fillId="37" borderId="15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195" fontId="1" fillId="37" borderId="15" xfId="60" applyFont="1" applyFill="1" applyBorder="1" applyAlignment="1">
      <alignment/>
    </xf>
    <xf numFmtId="2" fontId="1" fillId="37" borderId="15" xfId="0" applyNumberFormat="1" applyFont="1" applyFill="1" applyBorder="1" applyAlignment="1">
      <alignment/>
    </xf>
    <xf numFmtId="195" fontId="4" fillId="37" borderId="15" xfId="60" applyFont="1" applyFill="1" applyBorder="1" applyAlignment="1">
      <alignment/>
    </xf>
    <xf numFmtId="195" fontId="5" fillId="37" borderId="38" xfId="60" applyFont="1" applyFill="1" applyBorder="1" applyAlignment="1">
      <alignment horizontal="center" vertical="center" wrapText="1"/>
    </xf>
    <xf numFmtId="195" fontId="1" fillId="37" borderId="24" xfId="60" applyFont="1" applyFill="1" applyBorder="1" applyAlignment="1">
      <alignment/>
    </xf>
    <xf numFmtId="195" fontId="4" fillId="37" borderId="30" xfId="60" applyFont="1" applyFill="1" applyBorder="1" applyAlignment="1">
      <alignment/>
    </xf>
    <xf numFmtId="0" fontId="4" fillId="0" borderId="15" xfId="0" applyFont="1" applyFill="1" applyBorder="1" applyAlignment="1">
      <alignment horizontal="left" vertical="center"/>
    </xf>
    <xf numFmtId="0" fontId="1" fillId="38" borderId="15" xfId="0" applyFont="1" applyFill="1" applyBorder="1" applyAlignment="1">
      <alignment horizontal="center" vertical="center" wrapText="1"/>
    </xf>
    <xf numFmtId="0" fontId="1" fillId="39" borderId="39" xfId="0" applyFont="1" applyFill="1" applyBorder="1" applyAlignment="1">
      <alignment horizontal="center" vertical="center"/>
    </xf>
    <xf numFmtId="0" fontId="1" fillId="39" borderId="39" xfId="0" applyFont="1" applyFill="1" applyBorder="1" applyAlignment="1">
      <alignment horizontal="left" vertical="center"/>
    </xf>
    <xf numFmtId="0" fontId="1" fillId="39" borderId="15" xfId="0" applyFont="1" applyFill="1" applyBorder="1" applyAlignment="1">
      <alignment horizontal="center" vertical="center" wrapText="1"/>
    </xf>
    <xf numFmtId="0" fontId="1" fillId="39" borderId="15" xfId="0" applyFont="1" applyFill="1" applyBorder="1" applyAlignment="1">
      <alignment vertical="center" wrapText="1"/>
    </xf>
    <xf numFmtId="9" fontId="1" fillId="39" borderId="15" xfId="0" applyNumberFormat="1" applyFont="1" applyFill="1" applyBorder="1" applyAlignment="1">
      <alignment horizontal="center" vertical="center" wrapText="1"/>
    </xf>
    <xf numFmtId="0" fontId="1" fillId="39" borderId="15" xfId="0" applyFont="1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horizontal="center"/>
    </xf>
    <xf numFmtId="0" fontId="1" fillId="38" borderId="39" xfId="0" applyFont="1" applyFill="1" applyBorder="1" applyAlignment="1">
      <alignment horizontal="center" vertical="center"/>
    </xf>
    <xf numFmtId="0" fontId="1" fillId="38" borderId="15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vertical="center" wrapText="1"/>
    </xf>
    <xf numFmtId="9" fontId="1" fillId="38" borderId="15" xfId="0" applyNumberFormat="1" applyFont="1" applyFill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0" fillId="38" borderId="15" xfId="0" applyFont="1" applyFill="1" applyBorder="1" applyAlignment="1">
      <alignment horizontal="center"/>
    </xf>
    <xf numFmtId="0" fontId="1" fillId="39" borderId="24" xfId="0" applyFont="1" applyFill="1" applyBorder="1" applyAlignment="1">
      <alignment horizontal="center" vertical="center" wrapText="1"/>
    </xf>
    <xf numFmtId="0" fontId="14" fillId="39" borderId="15" xfId="0" applyFont="1" applyFill="1" applyBorder="1" applyAlignment="1">
      <alignment horizontal="center"/>
    </xf>
    <xf numFmtId="0" fontId="1" fillId="38" borderId="39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" fillId="39" borderId="39" xfId="0" applyFont="1" applyFill="1" applyBorder="1" applyAlignment="1">
      <alignment horizontal="center" vertical="center" wrapText="1"/>
    </xf>
    <xf numFmtId="0" fontId="1" fillId="39" borderId="39" xfId="0" applyFont="1" applyFill="1" applyBorder="1" applyAlignment="1">
      <alignment horizontal="left" vertical="center" wrapText="1"/>
    </xf>
    <xf numFmtId="0" fontId="14" fillId="38" borderId="15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vertical="center" wrapText="1"/>
    </xf>
    <xf numFmtId="0" fontId="1" fillId="39" borderId="15" xfId="0" applyFont="1" applyFill="1" applyBorder="1" applyAlignment="1">
      <alignment horizontal="center" vertical="center" wrapText="1"/>
    </xf>
    <xf numFmtId="0" fontId="4" fillId="39" borderId="15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horizontal="center"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0" fontId="5" fillId="0" borderId="3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1" fillId="38" borderId="19" xfId="0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horizontal="center" vertical="center" wrapText="1"/>
    </xf>
    <xf numFmtId="0" fontId="1" fillId="39" borderId="39" xfId="0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left" vertical="center" wrapText="1"/>
    </xf>
    <xf numFmtId="0" fontId="1" fillId="39" borderId="39" xfId="0" applyFont="1" applyFill="1" applyBorder="1" applyAlignment="1">
      <alignment horizontal="left" vertical="center" wrapText="1"/>
    </xf>
    <xf numFmtId="0" fontId="1" fillId="38" borderId="0" xfId="0" applyFont="1" applyFill="1" applyBorder="1" applyAlignment="1">
      <alignment/>
    </xf>
    <xf numFmtId="0" fontId="5" fillId="38" borderId="15" xfId="0" applyFont="1" applyFill="1" applyBorder="1" applyAlignment="1">
      <alignment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39" borderId="39" xfId="0" applyFont="1" applyFill="1" applyBorder="1" applyAlignment="1">
      <alignment horizontal="center" vertical="center" wrapText="1"/>
    </xf>
    <xf numFmtId="0" fontId="1" fillId="39" borderId="26" xfId="0" applyFont="1" applyFill="1" applyBorder="1" applyAlignment="1">
      <alignment horizontal="center" vertical="center" wrapText="1"/>
    </xf>
    <xf numFmtId="0" fontId="1" fillId="39" borderId="13" xfId="0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vertical="center" wrapText="1"/>
    </xf>
    <xf numFmtId="0" fontId="1" fillId="39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/>
    </xf>
    <xf numFmtId="0" fontId="1" fillId="39" borderId="39" xfId="0" applyFont="1" applyFill="1" applyBorder="1" applyAlignment="1">
      <alignment horizontal="center" vertical="center" wrapText="1"/>
    </xf>
    <xf numFmtId="0" fontId="1" fillId="39" borderId="26" xfId="0" applyFont="1" applyFill="1" applyBorder="1" applyAlignment="1">
      <alignment horizontal="center" vertical="center" wrapText="1"/>
    </xf>
    <xf numFmtId="0" fontId="1" fillId="39" borderId="13" xfId="0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1" fillId="38" borderId="26" xfId="0" applyFont="1" applyFill="1" applyBorder="1" applyAlignment="1">
      <alignment horizontal="center" vertical="center" wrapText="1"/>
    </xf>
    <xf numFmtId="0" fontId="1" fillId="39" borderId="15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vertical="center" wrapText="1"/>
    </xf>
    <xf numFmtId="9" fontId="1" fillId="39" borderId="15" xfId="0" applyNumberFormat="1" applyFont="1" applyFill="1" applyBorder="1" applyAlignment="1">
      <alignment horizontal="center" vertical="center" wrapText="1"/>
    </xf>
    <xf numFmtId="0" fontId="1" fillId="39" borderId="15" xfId="0" applyFont="1" applyFill="1" applyBorder="1" applyAlignment="1">
      <alignment horizontal="center" wrapText="1"/>
    </xf>
    <xf numFmtId="0" fontId="1" fillId="38" borderId="15" xfId="0" applyFont="1" applyFill="1" applyBorder="1" applyAlignment="1">
      <alignment horizontal="center" wrapText="1"/>
    </xf>
    <xf numFmtId="0" fontId="7" fillId="40" borderId="15" xfId="0" applyFont="1" applyFill="1" applyBorder="1" applyAlignment="1">
      <alignment horizontal="center" vertical="center" wrapText="1"/>
    </xf>
    <xf numFmtId="0" fontId="50" fillId="39" borderId="15" xfId="0" applyFont="1" applyFill="1" applyBorder="1" applyAlignment="1">
      <alignment horizontal="center" vertical="center" wrapText="1"/>
    </xf>
    <xf numFmtId="9" fontId="50" fillId="39" borderId="15" xfId="0" applyNumberFormat="1" applyFont="1" applyFill="1" applyBorder="1" applyAlignment="1">
      <alignment horizontal="center" vertical="center" wrapText="1"/>
    </xf>
    <xf numFmtId="0" fontId="50" fillId="39" borderId="15" xfId="0" applyFont="1" applyFill="1" applyBorder="1" applyAlignment="1">
      <alignment horizontal="center" wrapText="1"/>
    </xf>
    <xf numFmtId="0" fontId="50" fillId="38" borderId="15" xfId="0" applyFont="1" applyFill="1" applyBorder="1" applyAlignment="1">
      <alignment horizontal="center" vertical="center" wrapText="1"/>
    </xf>
    <xf numFmtId="0" fontId="50" fillId="38" borderId="15" xfId="0" applyFont="1" applyFill="1" applyBorder="1" applyAlignment="1">
      <alignment horizontal="center" wrapText="1"/>
    </xf>
    <xf numFmtId="9" fontId="1" fillId="38" borderId="15" xfId="0" applyNumberFormat="1" applyFont="1" applyFill="1" applyBorder="1" applyAlignment="1">
      <alignment horizontal="center" vertical="center" wrapText="1"/>
    </xf>
    <xf numFmtId="9" fontId="50" fillId="38" borderId="15" xfId="0" applyNumberFormat="1" applyFont="1" applyFill="1" applyBorder="1" applyAlignment="1">
      <alignment horizontal="center" vertical="center" wrapText="1"/>
    </xf>
    <xf numFmtId="0" fontId="51" fillId="39" borderId="15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wrapText="1"/>
    </xf>
    <xf numFmtId="0" fontId="6" fillId="40" borderId="15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4" fillId="38" borderId="15" xfId="0" applyFont="1" applyFill="1" applyBorder="1" applyAlignment="1">
      <alignment horizontal="center" wrapText="1"/>
    </xf>
    <xf numFmtId="0" fontId="4" fillId="39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39" borderId="24" xfId="0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wrapText="1"/>
    </xf>
    <xf numFmtId="0" fontId="1" fillId="38" borderId="13" xfId="0" applyFont="1" applyFill="1" applyBorder="1" applyAlignment="1">
      <alignment horizontal="center" wrapText="1"/>
    </xf>
    <xf numFmtId="0" fontId="1" fillId="38" borderId="26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vertical="center" wrapText="1"/>
    </xf>
    <xf numFmtId="195" fontId="1" fillId="37" borderId="24" xfId="60" applyFont="1" applyFill="1" applyBorder="1" applyAlignment="1">
      <alignment/>
    </xf>
    <xf numFmtId="171" fontId="5" fillId="37" borderId="15" xfId="0" applyNumberFormat="1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vertical="center" wrapText="1"/>
    </xf>
    <xf numFmtId="0" fontId="1" fillId="39" borderId="39" xfId="0" applyFont="1" applyFill="1" applyBorder="1" applyAlignment="1">
      <alignment horizontal="center" vertical="center" wrapText="1"/>
    </xf>
    <xf numFmtId="0" fontId="1" fillId="39" borderId="26" xfId="0" applyFont="1" applyFill="1" applyBorder="1" applyAlignment="1">
      <alignment horizontal="center" vertical="center" wrapText="1"/>
    </xf>
    <xf numFmtId="0" fontId="1" fillId="39" borderId="13" xfId="0" applyFont="1" applyFill="1" applyBorder="1" applyAlignment="1">
      <alignment horizontal="center" vertical="center" wrapText="1"/>
    </xf>
    <xf numFmtId="0" fontId="1" fillId="38" borderId="26" xfId="0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1" fillId="39" borderId="39" xfId="0" applyFont="1" applyFill="1" applyBorder="1" applyAlignment="1">
      <alignment horizontal="center" vertical="center" wrapText="1"/>
    </xf>
    <xf numFmtId="0" fontId="1" fillId="39" borderId="26" xfId="0" applyFont="1" applyFill="1" applyBorder="1" applyAlignment="1">
      <alignment horizontal="center" vertical="center" wrapText="1"/>
    </xf>
    <xf numFmtId="0" fontId="1" fillId="39" borderId="13" xfId="0" applyFont="1" applyFill="1" applyBorder="1" applyAlignment="1">
      <alignment horizontal="center" vertical="center" wrapText="1"/>
    </xf>
    <xf numFmtId="0" fontId="1" fillId="38" borderId="26" xfId="0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wrapText="1"/>
    </xf>
    <xf numFmtId="0" fontId="1" fillId="38" borderId="26" xfId="0" applyFont="1" applyFill="1" applyBorder="1" applyAlignment="1">
      <alignment horizontal="center" wrapText="1"/>
    </xf>
    <xf numFmtId="0" fontId="1" fillId="38" borderId="13" xfId="0" applyFont="1" applyFill="1" applyBorder="1" applyAlignment="1">
      <alignment horizontal="center" wrapText="1"/>
    </xf>
    <xf numFmtId="0" fontId="1" fillId="39" borderId="39" xfId="0" applyFont="1" applyFill="1" applyBorder="1" applyAlignment="1">
      <alignment horizontal="center" wrapText="1"/>
    </xf>
    <xf numFmtId="0" fontId="1" fillId="39" borderId="26" xfId="0" applyFont="1" applyFill="1" applyBorder="1" applyAlignment="1">
      <alignment horizontal="center" wrapText="1"/>
    </xf>
    <xf numFmtId="0" fontId="1" fillId="39" borderId="13" xfId="0" applyFont="1" applyFill="1" applyBorder="1" applyAlignment="1">
      <alignment horizontal="center" wrapText="1"/>
    </xf>
    <xf numFmtId="0" fontId="1" fillId="39" borderId="15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vertical="center" wrapText="1"/>
    </xf>
    <xf numFmtId="0" fontId="50" fillId="39" borderId="39" xfId="0" applyFont="1" applyFill="1" applyBorder="1" applyAlignment="1">
      <alignment horizontal="center" vertical="center" wrapText="1"/>
    </xf>
    <xf numFmtId="0" fontId="50" fillId="39" borderId="13" xfId="0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vertical="center" wrapText="1"/>
    </xf>
    <xf numFmtId="0" fontId="1" fillId="38" borderId="26" xfId="0" applyFont="1" applyFill="1" applyBorder="1" applyAlignment="1">
      <alignment horizontal="center" vertical="center" wrapText="1"/>
    </xf>
    <xf numFmtId="0" fontId="1" fillId="39" borderId="39" xfId="0" applyFont="1" applyFill="1" applyBorder="1" applyAlignment="1">
      <alignment horizontal="center" vertical="center" wrapText="1"/>
    </xf>
    <xf numFmtId="0" fontId="1" fillId="39" borderId="26" xfId="0" applyFont="1" applyFill="1" applyBorder="1" applyAlignment="1">
      <alignment horizontal="center" vertical="center" wrapText="1"/>
    </xf>
    <xf numFmtId="0" fontId="1" fillId="39" borderId="13" xfId="0" applyFont="1" applyFill="1" applyBorder="1" applyAlignment="1">
      <alignment horizontal="center" vertical="center" wrapText="1"/>
    </xf>
    <xf numFmtId="0" fontId="1" fillId="39" borderId="39" xfId="0" applyFont="1" applyFill="1" applyBorder="1" applyAlignment="1">
      <alignment horizontal="center" vertical="center" wrapText="1"/>
    </xf>
    <xf numFmtId="0" fontId="1" fillId="39" borderId="26" xfId="0" applyFont="1" applyFill="1" applyBorder="1" applyAlignment="1">
      <alignment horizontal="center" vertical="center" wrapText="1"/>
    </xf>
    <xf numFmtId="0" fontId="1" fillId="39" borderId="13" xfId="0" applyFont="1" applyFill="1" applyBorder="1" applyAlignment="1">
      <alignment horizontal="center" vertical="center" wrapText="1"/>
    </xf>
    <xf numFmtId="0" fontId="1" fillId="38" borderId="26" xfId="0" applyFont="1" applyFill="1" applyBorder="1" applyAlignment="1">
      <alignment horizontal="center" vertical="center" wrapText="1"/>
    </xf>
    <xf numFmtId="0" fontId="1" fillId="39" borderId="15" xfId="0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wrapText="1"/>
    </xf>
    <xf numFmtId="0" fontId="1" fillId="38" borderId="26" xfId="0" applyFont="1" applyFill="1" applyBorder="1" applyAlignment="1">
      <alignment horizontal="center" wrapText="1"/>
    </xf>
    <xf numFmtId="0" fontId="1" fillId="38" borderId="13" xfId="0" applyFont="1" applyFill="1" applyBorder="1" applyAlignment="1">
      <alignment horizontal="center" wrapText="1"/>
    </xf>
    <xf numFmtId="0" fontId="1" fillId="39" borderId="39" xfId="0" applyFont="1" applyFill="1" applyBorder="1" applyAlignment="1">
      <alignment horizontal="center" wrapText="1"/>
    </xf>
    <xf numFmtId="0" fontId="1" fillId="39" borderId="26" xfId="0" applyFont="1" applyFill="1" applyBorder="1" applyAlignment="1">
      <alignment horizontal="center" wrapText="1"/>
    </xf>
    <xf numFmtId="0" fontId="1" fillId="39" borderId="13" xfId="0" applyFont="1" applyFill="1" applyBorder="1" applyAlignment="1">
      <alignment horizontal="center" wrapText="1"/>
    </xf>
    <xf numFmtId="0" fontId="50" fillId="38" borderId="39" xfId="0" applyFont="1" applyFill="1" applyBorder="1" applyAlignment="1">
      <alignment horizontal="center" vertical="center" wrapText="1"/>
    </xf>
    <xf numFmtId="0" fontId="50" fillId="38" borderId="26" xfId="0" applyFont="1" applyFill="1" applyBorder="1" applyAlignment="1">
      <alignment horizontal="center" vertical="center" wrapText="1"/>
    </xf>
    <xf numFmtId="0" fontId="50" fillId="38" borderId="13" xfId="0" applyFont="1" applyFill="1" applyBorder="1" applyAlignment="1">
      <alignment horizontal="center" vertical="center" wrapText="1"/>
    </xf>
    <xf numFmtId="0" fontId="50" fillId="39" borderId="39" xfId="0" applyFont="1" applyFill="1" applyBorder="1" applyAlignment="1">
      <alignment horizontal="center" vertical="center" wrapText="1"/>
    </xf>
    <xf numFmtId="0" fontId="50" fillId="39" borderId="13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vertical="center" wrapText="1"/>
    </xf>
    <xf numFmtId="0" fontId="50" fillId="39" borderId="26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9" fontId="1" fillId="38" borderId="2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1" fillId="39" borderId="15" xfId="0" applyFont="1" applyFill="1" applyBorder="1" applyAlignment="1">
      <alignment vertical="center" wrapText="1"/>
    </xf>
    <xf numFmtId="0" fontId="1" fillId="39" borderId="22" xfId="0" applyFont="1" applyFill="1" applyBorder="1" applyAlignment="1">
      <alignment vertical="center" wrapText="1"/>
    </xf>
    <xf numFmtId="0" fontId="1" fillId="39" borderId="15" xfId="0" applyFont="1" applyFill="1" applyBorder="1" applyAlignment="1">
      <alignment horizontal="center" vertical="center"/>
    </xf>
    <xf numFmtId="195" fontId="1" fillId="37" borderId="15" xfId="6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38" borderId="39" xfId="0" applyFont="1" applyFill="1" applyBorder="1" applyAlignment="1">
      <alignment horizontal="center" vertical="center" wrapText="1"/>
    </xf>
    <xf numFmtId="0" fontId="1" fillId="39" borderId="39" xfId="0" applyFont="1" applyFill="1" applyBorder="1" applyAlignment="1">
      <alignment horizontal="center" vertical="center" wrapText="1"/>
    </xf>
    <xf numFmtId="0" fontId="1" fillId="39" borderId="26" xfId="0" applyFont="1" applyFill="1" applyBorder="1" applyAlignment="1">
      <alignment horizontal="center" vertical="center" wrapText="1"/>
    </xf>
    <xf numFmtId="0" fontId="1" fillId="39" borderId="13" xfId="0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1" fillId="39" borderId="26" xfId="0" applyFont="1" applyFill="1" applyBorder="1" applyAlignment="1">
      <alignment horizontal="center" vertical="center" wrapText="1"/>
    </xf>
    <xf numFmtId="0" fontId="1" fillId="39" borderId="13" xfId="0" applyFont="1" applyFill="1" applyBorder="1" applyAlignment="1">
      <alignment horizontal="center" vertical="center" wrapText="1"/>
    </xf>
    <xf numFmtId="0" fontId="1" fillId="38" borderId="26" xfId="0" applyFont="1" applyFill="1" applyBorder="1" applyAlignment="1">
      <alignment horizontal="center" vertical="center" wrapText="1"/>
    </xf>
    <xf numFmtId="0" fontId="1" fillId="39" borderId="39" xfId="0" applyFont="1" applyFill="1" applyBorder="1" applyAlignment="1">
      <alignment horizontal="center" vertical="center" wrapText="1"/>
    </xf>
    <xf numFmtId="0" fontId="50" fillId="39" borderId="39" xfId="0" applyFont="1" applyFill="1" applyBorder="1" applyAlignment="1">
      <alignment horizontal="center" vertical="center" wrapText="1"/>
    </xf>
    <xf numFmtId="0" fontId="50" fillId="39" borderId="13" xfId="0" applyFont="1" applyFill="1" applyBorder="1" applyAlignment="1">
      <alignment horizontal="center" vertical="center" wrapText="1"/>
    </xf>
    <xf numFmtId="0" fontId="50" fillId="39" borderId="26" xfId="0" applyFont="1" applyFill="1" applyBorder="1" applyAlignment="1">
      <alignment horizontal="center" vertical="center" wrapText="1"/>
    </xf>
    <xf numFmtId="195" fontId="1" fillId="37" borderId="22" xfId="60" applyFont="1" applyFill="1" applyBorder="1" applyAlignment="1">
      <alignment/>
    </xf>
    <xf numFmtId="195" fontId="5" fillId="37" borderId="22" xfId="6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195" fontId="1" fillId="37" borderId="14" xfId="60" applyFont="1" applyFill="1" applyBorder="1" applyAlignment="1">
      <alignment/>
    </xf>
    <xf numFmtId="195" fontId="1" fillId="37" borderId="30" xfId="60" applyFont="1" applyFill="1" applyBorder="1" applyAlignment="1">
      <alignment/>
    </xf>
    <xf numFmtId="195" fontId="5" fillId="37" borderId="44" xfId="60" applyFont="1" applyFill="1" applyBorder="1" applyAlignment="1">
      <alignment horizontal="center" vertical="center" wrapText="1"/>
    </xf>
    <xf numFmtId="195" fontId="5" fillId="37" borderId="45" xfId="6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1" fillId="37" borderId="47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4" fontId="1" fillId="37" borderId="14" xfId="60" applyNumberFormat="1" applyFont="1" applyFill="1" applyBorder="1" applyAlignment="1">
      <alignment/>
    </xf>
    <xf numFmtId="195" fontId="1" fillId="37" borderId="0" xfId="60" applyFont="1" applyFill="1" applyBorder="1" applyAlignment="1">
      <alignment/>
    </xf>
    <xf numFmtId="4" fontId="5" fillId="37" borderId="38" xfId="60" applyNumberFormat="1" applyFont="1" applyFill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195" fontId="4" fillId="37" borderId="22" xfId="60" applyFont="1" applyFill="1" applyBorder="1" applyAlignment="1">
      <alignment/>
    </xf>
    <xf numFmtId="195" fontId="1" fillId="33" borderId="48" xfId="60" applyFont="1" applyFill="1" applyBorder="1" applyAlignment="1">
      <alignment/>
    </xf>
    <xf numFmtId="195" fontId="1" fillId="0" borderId="48" xfId="60" applyFont="1" applyBorder="1" applyAlignment="1">
      <alignment/>
    </xf>
    <xf numFmtId="171" fontId="5" fillId="37" borderId="36" xfId="0" applyNumberFormat="1" applyFont="1" applyFill="1" applyBorder="1" applyAlignment="1">
      <alignment horizontal="center" vertical="center" wrapText="1"/>
    </xf>
    <xf numFmtId="195" fontId="1" fillId="33" borderId="14" xfId="60" applyFont="1" applyFill="1" applyBorder="1" applyAlignment="1">
      <alignment/>
    </xf>
    <xf numFmtId="195" fontId="1" fillId="33" borderId="30" xfId="60" applyFont="1" applyFill="1" applyBorder="1" applyAlignment="1">
      <alignment/>
    </xf>
    <xf numFmtId="171" fontId="5" fillId="37" borderId="28" xfId="0" applyNumberFormat="1" applyFont="1" applyFill="1" applyBorder="1" applyAlignment="1">
      <alignment horizontal="center" vertical="center" wrapText="1"/>
    </xf>
    <xf numFmtId="195" fontId="1" fillId="37" borderId="47" xfId="6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51" fillId="39" borderId="13" xfId="0" applyFont="1" applyFill="1" applyBorder="1" applyAlignment="1">
      <alignment horizontal="center" vertical="center" wrapText="1"/>
    </xf>
    <xf numFmtId="171" fontId="1" fillId="0" borderId="0" xfId="0" applyNumberFormat="1" applyFont="1" applyAlignment="1">
      <alignment/>
    </xf>
    <xf numFmtId="9" fontId="50" fillId="39" borderId="39" xfId="0" applyNumberFormat="1" applyFont="1" applyFill="1" applyBorder="1" applyAlignment="1">
      <alignment horizontal="center" vertical="center" wrapText="1"/>
    </xf>
    <xf numFmtId="9" fontId="50" fillId="39" borderId="13" xfId="0" applyNumberFormat="1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vertical="center"/>
    </xf>
    <xf numFmtId="0" fontId="1" fillId="38" borderId="13" xfId="0" applyFont="1" applyFill="1" applyBorder="1" applyAlignment="1">
      <alignment horizontal="center" vertical="center"/>
    </xf>
    <xf numFmtId="0" fontId="1" fillId="38" borderId="26" xfId="0" applyFont="1" applyFill="1" applyBorder="1" applyAlignment="1">
      <alignment horizontal="center" vertical="center"/>
    </xf>
    <xf numFmtId="0" fontId="1" fillId="38" borderId="26" xfId="0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left" vertical="center" wrapText="1"/>
    </xf>
    <xf numFmtId="0" fontId="1" fillId="38" borderId="26" xfId="0" applyFont="1" applyFill="1" applyBorder="1" applyAlignment="1">
      <alignment horizontal="left" vertical="center" wrapText="1"/>
    </xf>
    <xf numFmtId="0" fontId="1" fillId="39" borderId="39" xfId="0" applyFont="1" applyFill="1" applyBorder="1" applyAlignment="1">
      <alignment horizontal="left" vertical="center" wrapText="1"/>
    </xf>
    <xf numFmtId="0" fontId="1" fillId="39" borderId="26" xfId="0" applyFont="1" applyFill="1" applyBorder="1" applyAlignment="1">
      <alignment horizontal="left" vertical="center" wrapText="1"/>
    </xf>
    <xf numFmtId="0" fontId="1" fillId="39" borderId="39" xfId="0" applyFont="1" applyFill="1" applyBorder="1" applyAlignment="1">
      <alignment horizontal="center" vertical="center"/>
    </xf>
    <xf numFmtId="0" fontId="1" fillId="39" borderId="26" xfId="0" applyFont="1" applyFill="1" applyBorder="1" applyAlignment="1">
      <alignment horizontal="center" vertical="center"/>
    </xf>
    <xf numFmtId="0" fontId="1" fillId="39" borderId="39" xfId="0" applyFont="1" applyFill="1" applyBorder="1" applyAlignment="1">
      <alignment horizontal="center" vertical="center" wrapText="1"/>
    </xf>
    <xf numFmtId="0" fontId="1" fillId="39" borderId="26" xfId="0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left" vertical="center"/>
    </xf>
    <xf numFmtId="0" fontId="1" fillId="38" borderId="1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1" fillId="39" borderId="39" xfId="0" applyFont="1" applyFill="1" applyBorder="1" applyAlignment="1">
      <alignment horizontal="center" vertical="center" wrapText="1"/>
    </xf>
    <xf numFmtId="0" fontId="1" fillId="39" borderId="26" xfId="0" applyFont="1" applyFill="1" applyBorder="1" applyAlignment="1">
      <alignment horizontal="center" vertical="center" wrapText="1"/>
    </xf>
    <xf numFmtId="0" fontId="1" fillId="39" borderId="13" xfId="0" applyFont="1" applyFill="1" applyBorder="1" applyAlignment="1">
      <alignment horizontal="center" vertical="center" wrapText="1"/>
    </xf>
    <xf numFmtId="0" fontId="1" fillId="38" borderId="26" xfId="0" applyFont="1" applyFill="1" applyBorder="1" applyAlignment="1">
      <alignment horizontal="center" vertical="center" wrapText="1"/>
    </xf>
    <xf numFmtId="0" fontId="1" fillId="39" borderId="13" xfId="0" applyFont="1" applyFill="1" applyBorder="1" applyAlignment="1">
      <alignment horizontal="center" vertical="center" wrapText="1"/>
    </xf>
    <xf numFmtId="0" fontId="1" fillId="39" borderId="15" xfId="0" applyFont="1" applyFill="1" applyBorder="1" applyAlignment="1">
      <alignment horizontal="center" vertical="center" wrapText="1"/>
    </xf>
    <xf numFmtId="0" fontId="1" fillId="39" borderId="15" xfId="0" applyFont="1" applyFill="1" applyBorder="1" applyAlignment="1">
      <alignment horizontal="center" vertical="center"/>
    </xf>
    <xf numFmtId="0" fontId="1" fillId="39" borderId="39" xfId="0" applyFont="1" applyFill="1" applyBorder="1" applyAlignment="1">
      <alignment horizontal="center" wrapText="1"/>
    </xf>
    <xf numFmtId="0" fontId="1" fillId="39" borderId="26" xfId="0" applyFont="1" applyFill="1" applyBorder="1" applyAlignment="1">
      <alignment horizontal="center" wrapText="1"/>
    </xf>
    <xf numFmtId="0" fontId="1" fillId="39" borderId="13" xfId="0" applyFont="1" applyFill="1" applyBorder="1" applyAlignment="1">
      <alignment horizontal="center" wrapText="1"/>
    </xf>
    <xf numFmtId="0" fontId="1" fillId="38" borderId="39" xfId="0" applyFont="1" applyFill="1" applyBorder="1" applyAlignment="1">
      <alignment horizontal="center" wrapText="1"/>
    </xf>
    <xf numFmtId="0" fontId="1" fillId="38" borderId="26" xfId="0" applyFont="1" applyFill="1" applyBorder="1" applyAlignment="1">
      <alignment horizontal="center" wrapText="1"/>
    </xf>
    <xf numFmtId="0" fontId="1" fillId="38" borderId="13" xfId="0" applyFont="1" applyFill="1" applyBorder="1" applyAlignment="1">
      <alignment horizontal="center" wrapText="1"/>
    </xf>
    <xf numFmtId="0" fontId="1" fillId="39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9" fontId="50" fillId="39" borderId="39" xfId="0" applyNumberFormat="1" applyFont="1" applyFill="1" applyBorder="1" applyAlignment="1">
      <alignment horizontal="center" vertical="center" wrapText="1"/>
    </xf>
    <xf numFmtId="9" fontId="50" fillId="39" borderId="13" xfId="0" applyNumberFormat="1" applyFont="1" applyFill="1" applyBorder="1" applyAlignment="1">
      <alignment horizontal="center" vertical="center" wrapText="1"/>
    </xf>
    <xf numFmtId="0" fontId="50" fillId="38" borderId="39" xfId="0" applyFont="1" applyFill="1" applyBorder="1" applyAlignment="1">
      <alignment horizontal="center" vertical="center" wrapText="1"/>
    </xf>
    <xf numFmtId="0" fontId="50" fillId="38" borderId="26" xfId="0" applyFont="1" applyFill="1" applyBorder="1" applyAlignment="1">
      <alignment horizontal="center" vertical="center" wrapText="1"/>
    </xf>
    <xf numFmtId="0" fontId="50" fillId="38" borderId="13" xfId="0" applyFont="1" applyFill="1" applyBorder="1" applyAlignment="1">
      <alignment horizontal="center" vertical="center" wrapText="1"/>
    </xf>
    <xf numFmtId="0" fontId="50" fillId="39" borderId="39" xfId="0" applyFont="1" applyFill="1" applyBorder="1" applyAlignment="1">
      <alignment horizontal="center" vertical="center" wrapText="1"/>
    </xf>
    <xf numFmtId="0" fontId="50" fillId="39" borderId="13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vertical="center" wrapText="1"/>
    </xf>
    <xf numFmtId="0" fontId="1" fillId="39" borderId="15" xfId="0" applyFont="1" applyFill="1" applyBorder="1" applyAlignment="1">
      <alignment horizontal="left" vertical="center" wrapText="1"/>
    </xf>
    <xf numFmtId="0" fontId="50" fillId="39" borderId="26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N22"/>
  <sheetViews>
    <sheetView tabSelected="1" zoomScale="80" zoomScaleNormal="80" zoomScalePageLayoutView="0" workbookViewId="0" topLeftCell="A1">
      <pane xSplit="3" ySplit="3" topLeftCell="N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N1" sqref="AN1:AN16384"/>
    </sheetView>
  </sheetViews>
  <sheetFormatPr defaultColWidth="9.140625" defaultRowHeight="12.75"/>
  <cols>
    <col min="1" max="1" width="6.28125" style="27" customWidth="1"/>
    <col min="2" max="2" width="19.7109375" style="26" customWidth="1"/>
    <col min="3" max="3" width="9.140625" style="26" customWidth="1"/>
    <col min="4" max="6" width="9.421875" style="26" customWidth="1"/>
    <col min="7" max="7" width="10.8515625" style="26" customWidth="1"/>
    <col min="8" max="8" width="9.57421875" style="26" customWidth="1"/>
    <col min="9" max="9" width="11.421875" style="26" hidden="1" customWidth="1"/>
    <col min="10" max="10" width="7.8515625" style="26" customWidth="1"/>
    <col min="11" max="12" width="9.28125" style="26" customWidth="1"/>
    <col min="13" max="14" width="8.28125" style="26" customWidth="1"/>
    <col min="15" max="17" width="8.28125" style="26" hidden="1" customWidth="1"/>
    <col min="18" max="18" width="10.57421875" style="26" hidden="1" customWidth="1"/>
    <col min="19" max="19" width="10.57421875" style="26" customWidth="1"/>
    <col min="20" max="20" width="8.140625" style="26" customWidth="1"/>
    <col min="21" max="21" width="6.8515625" style="26" customWidth="1"/>
    <col min="22" max="22" width="8.28125" style="26" customWidth="1"/>
    <col min="23" max="23" width="9.421875" style="26" customWidth="1"/>
    <col min="24" max="24" width="7.7109375" style="26" customWidth="1"/>
    <col min="25" max="25" width="8.421875" style="26" customWidth="1"/>
    <col min="26" max="26" width="9.140625" style="26" customWidth="1"/>
    <col min="27" max="27" width="7.28125" style="26" customWidth="1"/>
    <col min="28" max="28" width="13.28125" style="26" hidden="1" customWidth="1"/>
    <col min="29" max="30" width="11.140625" style="26" hidden="1" customWidth="1"/>
    <col min="31" max="31" width="8.28125" style="26" hidden="1" customWidth="1"/>
    <col min="32" max="32" width="9.7109375" style="27" hidden="1" customWidth="1"/>
    <col min="33" max="33" width="9.7109375" style="27" customWidth="1"/>
    <col min="34" max="34" width="8.28125" style="27" hidden="1" customWidth="1"/>
    <col min="35" max="35" width="7.8515625" style="27" hidden="1" customWidth="1"/>
    <col min="36" max="36" width="10.00390625" style="27" hidden="1" customWidth="1"/>
    <col min="37" max="37" width="10.00390625" style="27" customWidth="1"/>
    <col min="38" max="38" width="9.140625" style="27" hidden="1" customWidth="1"/>
    <col min="39" max="39" width="9.140625" style="27" customWidth="1"/>
    <col min="40" max="40" width="10.00390625" style="27" hidden="1" customWidth="1"/>
  </cols>
  <sheetData>
    <row r="1" spans="1:40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5"/>
      <c r="AG1" s="35"/>
      <c r="AH1" s="35"/>
      <c r="AI1" s="35"/>
      <c r="AJ1" s="35"/>
      <c r="AK1" s="35"/>
      <c r="AL1" s="35"/>
      <c r="AM1" s="35"/>
      <c r="AN1" s="35"/>
    </row>
    <row r="2" spans="1:40" ht="78.75" customHeight="1">
      <c r="A2" s="38" t="s">
        <v>0</v>
      </c>
      <c r="B2" s="38" t="s">
        <v>1</v>
      </c>
      <c r="C2" s="38" t="s">
        <v>2</v>
      </c>
      <c r="D2" s="315" t="s">
        <v>55</v>
      </c>
      <c r="E2" s="316"/>
      <c r="F2" s="315" t="s">
        <v>175</v>
      </c>
      <c r="G2" s="316"/>
      <c r="H2" s="42" t="s">
        <v>58</v>
      </c>
      <c r="I2" s="42" t="s">
        <v>102</v>
      </c>
      <c r="J2" s="315" t="s">
        <v>107</v>
      </c>
      <c r="K2" s="316"/>
      <c r="L2" s="172" t="s">
        <v>56</v>
      </c>
      <c r="M2" s="315" t="s">
        <v>116</v>
      </c>
      <c r="N2" s="316"/>
      <c r="O2" s="315" t="s">
        <v>132</v>
      </c>
      <c r="P2" s="316"/>
      <c r="Q2" s="38" t="s">
        <v>104</v>
      </c>
      <c r="R2" s="42" t="s">
        <v>159</v>
      </c>
      <c r="S2" s="42" t="s">
        <v>160</v>
      </c>
      <c r="T2" s="315" t="s">
        <v>143</v>
      </c>
      <c r="U2" s="333"/>
      <c r="V2" s="316"/>
      <c r="W2" s="315" t="s">
        <v>61</v>
      </c>
      <c r="X2" s="333"/>
      <c r="Y2" s="316"/>
      <c r="Z2" s="315" t="s">
        <v>109</v>
      </c>
      <c r="AA2" s="316"/>
      <c r="AB2" s="38" t="s">
        <v>110</v>
      </c>
      <c r="AC2" s="42" t="s">
        <v>111</v>
      </c>
      <c r="AD2" s="38" t="s">
        <v>112</v>
      </c>
      <c r="AE2" s="38" t="s">
        <v>94</v>
      </c>
      <c r="AF2" s="38" t="s">
        <v>57</v>
      </c>
      <c r="AG2" s="172" t="s">
        <v>139</v>
      </c>
      <c r="AH2" s="172" t="s">
        <v>120</v>
      </c>
      <c r="AI2" s="315" t="s">
        <v>114</v>
      </c>
      <c r="AJ2" s="316"/>
      <c r="AK2" s="138" t="s">
        <v>191</v>
      </c>
      <c r="AL2" s="138" t="s">
        <v>115</v>
      </c>
      <c r="AM2" s="138" t="s">
        <v>219</v>
      </c>
      <c r="AN2" s="138" t="s">
        <v>126</v>
      </c>
    </row>
    <row r="3" spans="1:40" ht="19.5" customHeight="1">
      <c r="A3" s="39"/>
      <c r="B3" s="119" t="s">
        <v>4</v>
      </c>
      <c r="C3" s="40"/>
      <c r="D3" s="38" t="s">
        <v>63</v>
      </c>
      <c r="E3" s="38" t="s">
        <v>77</v>
      </c>
      <c r="F3" s="38" t="s">
        <v>77</v>
      </c>
      <c r="G3" s="38" t="s">
        <v>86</v>
      </c>
      <c r="H3" s="38"/>
      <c r="I3" s="38"/>
      <c r="J3" s="38" t="s">
        <v>96</v>
      </c>
      <c r="K3" s="38" t="s">
        <v>90</v>
      </c>
      <c r="L3" s="38" t="s">
        <v>86</v>
      </c>
      <c r="M3" s="38" t="s">
        <v>77</v>
      </c>
      <c r="N3" s="38" t="s">
        <v>86</v>
      </c>
      <c r="O3" s="38" t="s">
        <v>77</v>
      </c>
      <c r="P3" s="38" t="s">
        <v>86</v>
      </c>
      <c r="Q3" s="38"/>
      <c r="R3" s="38"/>
      <c r="S3" s="38"/>
      <c r="T3" s="38" t="s">
        <v>63</v>
      </c>
      <c r="U3" s="38" t="s">
        <v>65</v>
      </c>
      <c r="V3" s="38" t="s">
        <v>90</v>
      </c>
      <c r="W3" s="38" t="s">
        <v>63</v>
      </c>
      <c r="X3" s="38" t="s">
        <v>65</v>
      </c>
      <c r="Y3" s="38" t="s">
        <v>90</v>
      </c>
      <c r="Z3" s="38" t="s">
        <v>90</v>
      </c>
      <c r="AA3" s="38" t="s">
        <v>65</v>
      </c>
      <c r="AB3" s="38" t="s">
        <v>76</v>
      </c>
      <c r="AC3" s="38"/>
      <c r="AD3" s="38"/>
      <c r="AE3" s="38"/>
      <c r="AF3" s="38"/>
      <c r="AG3" s="38"/>
      <c r="AH3" s="38" t="s">
        <v>86</v>
      </c>
      <c r="AI3" s="38" t="s">
        <v>96</v>
      </c>
      <c r="AJ3" s="137" t="s">
        <v>86</v>
      </c>
      <c r="AK3" s="137" t="s">
        <v>77</v>
      </c>
      <c r="AL3" s="137" t="s">
        <v>77</v>
      </c>
      <c r="AM3" s="137" t="s">
        <v>77</v>
      </c>
      <c r="AN3" s="137" t="s">
        <v>77</v>
      </c>
    </row>
    <row r="4" spans="1:40" s="26" customFormat="1" ht="40.5" customHeight="1">
      <c r="A4" s="121">
        <v>1</v>
      </c>
      <c r="B4" s="122" t="s">
        <v>5</v>
      </c>
      <c r="C4" s="121">
        <v>3308.16</v>
      </c>
      <c r="D4" s="123"/>
      <c r="E4" s="123"/>
      <c r="F4" s="247">
        <v>2</v>
      </c>
      <c r="G4" s="126" t="s">
        <v>176</v>
      </c>
      <c r="H4" s="126" t="s">
        <v>100</v>
      </c>
      <c r="I4" s="126"/>
      <c r="J4" s="264"/>
      <c r="K4" s="265"/>
      <c r="L4" s="265"/>
      <c r="M4" s="123"/>
      <c r="N4" s="126"/>
      <c r="O4" s="126"/>
      <c r="P4" s="126"/>
      <c r="Q4" s="126"/>
      <c r="R4" s="126"/>
      <c r="S4" s="126" t="s">
        <v>100</v>
      </c>
      <c r="T4" s="264"/>
      <c r="U4" s="264"/>
      <c r="V4" s="264"/>
      <c r="W4" s="126"/>
      <c r="X4" s="123"/>
      <c r="Y4" s="126"/>
      <c r="Z4" s="123"/>
      <c r="AA4" s="123"/>
      <c r="AB4" s="126"/>
      <c r="AC4" s="126"/>
      <c r="AD4" s="126"/>
      <c r="AE4" s="123"/>
      <c r="AF4" s="125"/>
      <c r="AG4" s="125"/>
      <c r="AH4" s="177"/>
      <c r="AI4" s="123"/>
      <c r="AJ4" s="123"/>
      <c r="AK4" s="247"/>
      <c r="AL4" s="126"/>
      <c r="AM4" s="126"/>
      <c r="AN4" s="126"/>
    </row>
    <row r="5" spans="1:40" s="26" customFormat="1" ht="12" customHeight="1">
      <c r="A5" s="319">
        <v>2</v>
      </c>
      <c r="B5" s="331" t="s">
        <v>101</v>
      </c>
      <c r="C5" s="319">
        <v>3164.5</v>
      </c>
      <c r="D5" s="129"/>
      <c r="E5" s="129"/>
      <c r="F5" s="259"/>
      <c r="G5" s="179"/>
      <c r="H5" s="317" t="s">
        <v>100</v>
      </c>
      <c r="I5" s="317"/>
      <c r="J5" s="120">
        <v>10</v>
      </c>
      <c r="K5" s="120" t="s">
        <v>156</v>
      </c>
      <c r="L5" s="120"/>
      <c r="M5" s="129"/>
      <c r="N5" s="129"/>
      <c r="O5" s="188"/>
      <c r="P5" s="188"/>
      <c r="Q5" s="317"/>
      <c r="R5" s="317"/>
      <c r="S5" s="317" t="s">
        <v>100</v>
      </c>
      <c r="T5" s="120"/>
      <c r="U5" s="120"/>
      <c r="V5" s="120"/>
      <c r="W5" s="129"/>
      <c r="X5" s="129"/>
      <c r="Y5" s="129"/>
      <c r="Z5" s="129"/>
      <c r="AA5" s="129"/>
      <c r="AB5" s="317"/>
      <c r="AC5" s="317"/>
      <c r="AD5" s="317"/>
      <c r="AE5" s="313"/>
      <c r="AF5" s="131"/>
      <c r="AG5" s="262"/>
      <c r="AH5" s="132"/>
      <c r="AI5" s="132"/>
      <c r="AJ5" s="129"/>
      <c r="AK5" s="313">
        <v>1</v>
      </c>
      <c r="AL5" s="313"/>
      <c r="AM5" s="313">
        <v>1</v>
      </c>
      <c r="AN5" s="313"/>
    </row>
    <row r="6" spans="1:40" s="26" customFormat="1" ht="12" customHeight="1">
      <c r="A6" s="320"/>
      <c r="B6" s="332"/>
      <c r="C6" s="320"/>
      <c r="D6" s="129"/>
      <c r="E6" s="129"/>
      <c r="F6" s="259"/>
      <c r="G6" s="179"/>
      <c r="H6" s="314"/>
      <c r="I6" s="318"/>
      <c r="J6" s="120"/>
      <c r="K6" s="120"/>
      <c r="L6" s="120"/>
      <c r="M6" s="129"/>
      <c r="N6" s="129"/>
      <c r="O6" s="188"/>
      <c r="P6" s="188"/>
      <c r="Q6" s="314"/>
      <c r="R6" s="318"/>
      <c r="S6" s="318"/>
      <c r="T6" s="120"/>
      <c r="U6" s="120"/>
      <c r="V6" s="120"/>
      <c r="W6" s="129"/>
      <c r="X6" s="129"/>
      <c r="Y6" s="129"/>
      <c r="Z6" s="129"/>
      <c r="AA6" s="129"/>
      <c r="AB6" s="314"/>
      <c r="AC6" s="314"/>
      <c r="AD6" s="318"/>
      <c r="AE6" s="314"/>
      <c r="AF6" s="131"/>
      <c r="AG6" s="262"/>
      <c r="AH6" s="132"/>
      <c r="AI6" s="132"/>
      <c r="AJ6" s="129"/>
      <c r="AK6" s="314"/>
      <c r="AL6" s="314"/>
      <c r="AM6" s="314"/>
      <c r="AN6" s="314"/>
    </row>
    <row r="7" spans="1:40" s="26" customFormat="1" ht="12" customHeight="1">
      <c r="A7" s="327">
        <v>3</v>
      </c>
      <c r="B7" s="325" t="s">
        <v>6</v>
      </c>
      <c r="C7" s="329">
        <v>4286.5</v>
      </c>
      <c r="D7" s="126" t="s">
        <v>149</v>
      </c>
      <c r="E7" s="123">
        <v>1</v>
      </c>
      <c r="F7" s="247"/>
      <c r="G7" s="177"/>
      <c r="H7" s="334" t="s">
        <v>100</v>
      </c>
      <c r="I7" s="334"/>
      <c r="J7" s="126"/>
      <c r="K7" s="126"/>
      <c r="L7" s="126" t="s">
        <v>207</v>
      </c>
      <c r="M7" s="123"/>
      <c r="N7" s="123"/>
      <c r="O7" s="187"/>
      <c r="P7" s="187"/>
      <c r="Q7" s="334"/>
      <c r="R7" s="334"/>
      <c r="S7" s="334" t="s">
        <v>100</v>
      </c>
      <c r="T7" s="126" t="s">
        <v>144</v>
      </c>
      <c r="U7" s="126">
        <v>10</v>
      </c>
      <c r="V7" s="126" t="s">
        <v>145</v>
      </c>
      <c r="W7" s="126" t="s">
        <v>168</v>
      </c>
      <c r="X7" s="123">
        <v>8</v>
      </c>
      <c r="Y7" s="135" t="s">
        <v>169</v>
      </c>
      <c r="Z7" s="123"/>
      <c r="AA7" s="123"/>
      <c r="AB7" s="329"/>
      <c r="AC7" s="334"/>
      <c r="AD7" s="334"/>
      <c r="AE7" s="334"/>
      <c r="AF7" s="124"/>
      <c r="AG7" s="334" t="s">
        <v>100</v>
      </c>
      <c r="AH7" s="134"/>
      <c r="AI7" s="134"/>
      <c r="AJ7" s="123"/>
      <c r="AK7" s="240"/>
      <c r="AL7" s="329"/>
      <c r="AM7" s="329">
        <v>1</v>
      </c>
      <c r="AN7" s="329"/>
    </row>
    <row r="8" spans="1:40" s="26" customFormat="1" ht="12" customHeight="1">
      <c r="A8" s="328"/>
      <c r="B8" s="326"/>
      <c r="C8" s="330"/>
      <c r="D8" s="123"/>
      <c r="E8" s="123"/>
      <c r="F8" s="247"/>
      <c r="G8" s="177"/>
      <c r="H8" s="330"/>
      <c r="I8" s="335"/>
      <c r="J8" s="126"/>
      <c r="K8" s="126"/>
      <c r="L8" s="126"/>
      <c r="M8" s="123"/>
      <c r="N8" s="123"/>
      <c r="O8" s="187"/>
      <c r="P8" s="187"/>
      <c r="Q8" s="330"/>
      <c r="R8" s="335"/>
      <c r="S8" s="335"/>
      <c r="T8" s="126" t="s">
        <v>146</v>
      </c>
      <c r="U8" s="126">
        <v>10</v>
      </c>
      <c r="V8" s="126" t="s">
        <v>145</v>
      </c>
      <c r="W8" s="123"/>
      <c r="X8" s="123"/>
      <c r="Y8" s="127"/>
      <c r="Z8" s="123"/>
      <c r="AA8" s="123"/>
      <c r="AB8" s="330"/>
      <c r="AC8" s="330"/>
      <c r="AD8" s="335"/>
      <c r="AE8" s="335"/>
      <c r="AF8" s="124"/>
      <c r="AG8" s="330"/>
      <c r="AH8" s="207"/>
      <c r="AI8" s="134"/>
      <c r="AJ8" s="123"/>
      <c r="AK8" s="241"/>
      <c r="AL8" s="330"/>
      <c r="AM8" s="330"/>
      <c r="AN8" s="330"/>
    </row>
    <row r="9" spans="1:40" s="26" customFormat="1" ht="12" customHeight="1">
      <c r="A9" s="328"/>
      <c r="B9" s="326"/>
      <c r="C9" s="330"/>
      <c r="D9" s="123"/>
      <c r="E9" s="123"/>
      <c r="F9" s="247"/>
      <c r="G9" s="177"/>
      <c r="H9" s="330"/>
      <c r="I9" s="335"/>
      <c r="J9" s="126"/>
      <c r="K9" s="126"/>
      <c r="L9" s="126"/>
      <c r="M9" s="123"/>
      <c r="N9" s="123"/>
      <c r="O9" s="187"/>
      <c r="P9" s="187"/>
      <c r="Q9" s="330"/>
      <c r="R9" s="335"/>
      <c r="S9" s="335"/>
      <c r="T9" s="126" t="s">
        <v>146</v>
      </c>
      <c r="U9" s="126">
        <v>12</v>
      </c>
      <c r="V9" s="126" t="s">
        <v>184</v>
      </c>
      <c r="W9" s="123"/>
      <c r="X9" s="123"/>
      <c r="Y9" s="127"/>
      <c r="Z9" s="123"/>
      <c r="AA9" s="123"/>
      <c r="AB9" s="330"/>
      <c r="AC9" s="330"/>
      <c r="AD9" s="335"/>
      <c r="AE9" s="335"/>
      <c r="AF9" s="124"/>
      <c r="AG9" s="330"/>
      <c r="AH9" s="134"/>
      <c r="AI9" s="134"/>
      <c r="AJ9" s="123"/>
      <c r="AK9" s="241"/>
      <c r="AL9" s="330"/>
      <c r="AM9" s="330"/>
      <c r="AN9" s="330"/>
    </row>
    <row r="10" spans="1:40" s="26" customFormat="1" ht="12" customHeight="1">
      <c r="A10" s="328"/>
      <c r="B10" s="326"/>
      <c r="C10" s="330"/>
      <c r="D10" s="123"/>
      <c r="E10" s="123"/>
      <c r="F10" s="247"/>
      <c r="G10" s="177"/>
      <c r="H10" s="338"/>
      <c r="I10" s="336"/>
      <c r="J10" s="126"/>
      <c r="K10" s="126"/>
      <c r="L10" s="126"/>
      <c r="M10" s="123"/>
      <c r="N10" s="123"/>
      <c r="O10" s="187"/>
      <c r="P10" s="187"/>
      <c r="Q10" s="338"/>
      <c r="R10" s="336"/>
      <c r="S10" s="336"/>
      <c r="T10" s="126" t="s">
        <v>144</v>
      </c>
      <c r="U10" s="126">
        <v>12</v>
      </c>
      <c r="V10" s="126" t="s">
        <v>184</v>
      </c>
      <c r="W10" s="123"/>
      <c r="X10" s="123"/>
      <c r="Y10" s="127"/>
      <c r="Z10" s="123"/>
      <c r="AA10" s="123"/>
      <c r="AB10" s="338"/>
      <c r="AC10" s="338"/>
      <c r="AD10" s="336"/>
      <c r="AE10" s="336"/>
      <c r="AF10" s="124"/>
      <c r="AG10" s="338"/>
      <c r="AH10" s="134"/>
      <c r="AI10" s="134"/>
      <c r="AJ10" s="123"/>
      <c r="AK10" s="242"/>
      <c r="AL10" s="338"/>
      <c r="AM10" s="338"/>
      <c r="AN10" s="338"/>
    </row>
    <row r="11" spans="1:40" s="44" customFormat="1" ht="12" customHeight="1">
      <c r="A11" s="319">
        <v>4</v>
      </c>
      <c r="B11" s="323" t="s">
        <v>7</v>
      </c>
      <c r="C11" s="313">
        <v>2730.6</v>
      </c>
      <c r="D11" s="129"/>
      <c r="E11" s="129"/>
      <c r="F11" s="259"/>
      <c r="G11" s="179"/>
      <c r="H11" s="317"/>
      <c r="I11" s="317"/>
      <c r="J11" s="120"/>
      <c r="K11" s="120"/>
      <c r="L11" s="120"/>
      <c r="M11" s="129">
        <v>1</v>
      </c>
      <c r="N11" s="120" t="s">
        <v>186</v>
      </c>
      <c r="O11" s="188"/>
      <c r="P11" s="188"/>
      <c r="Q11" s="317"/>
      <c r="R11" s="317"/>
      <c r="S11" s="317" t="s">
        <v>100</v>
      </c>
      <c r="T11" s="120"/>
      <c r="U11" s="120"/>
      <c r="V11" s="120"/>
      <c r="W11" s="129"/>
      <c r="X11" s="129"/>
      <c r="Y11" s="129"/>
      <c r="Z11" s="120" t="s">
        <v>137</v>
      </c>
      <c r="AA11" s="129">
        <v>5</v>
      </c>
      <c r="AB11" s="317"/>
      <c r="AC11" s="317"/>
      <c r="AD11" s="317"/>
      <c r="AE11" s="313"/>
      <c r="AF11" s="129"/>
      <c r="AG11" s="313"/>
      <c r="AH11" s="179"/>
      <c r="AI11" s="129"/>
      <c r="AJ11" s="120"/>
      <c r="AK11" s="235"/>
      <c r="AL11" s="313"/>
      <c r="AM11" s="313"/>
      <c r="AN11" s="313"/>
    </row>
    <row r="12" spans="1:40" s="44" customFormat="1" ht="12" customHeight="1">
      <c r="A12" s="321"/>
      <c r="B12" s="324"/>
      <c r="C12" s="322"/>
      <c r="D12" s="129"/>
      <c r="E12" s="129"/>
      <c r="F12" s="259"/>
      <c r="G12" s="179"/>
      <c r="H12" s="322"/>
      <c r="I12" s="337"/>
      <c r="J12" s="120"/>
      <c r="K12" s="120"/>
      <c r="L12" s="120"/>
      <c r="M12" s="129"/>
      <c r="N12" s="129"/>
      <c r="O12" s="188"/>
      <c r="P12" s="188"/>
      <c r="Q12" s="322"/>
      <c r="R12" s="337"/>
      <c r="S12" s="337"/>
      <c r="T12" s="120"/>
      <c r="U12" s="120"/>
      <c r="V12" s="120"/>
      <c r="W12" s="129"/>
      <c r="X12" s="129"/>
      <c r="Y12" s="129"/>
      <c r="Z12" s="120" t="s">
        <v>165</v>
      </c>
      <c r="AA12" s="129">
        <v>15</v>
      </c>
      <c r="AB12" s="322"/>
      <c r="AC12" s="322"/>
      <c r="AD12" s="337"/>
      <c r="AE12" s="322"/>
      <c r="AF12" s="129"/>
      <c r="AG12" s="322"/>
      <c r="AH12" s="179"/>
      <c r="AI12" s="129"/>
      <c r="AJ12" s="129"/>
      <c r="AK12" s="239"/>
      <c r="AL12" s="322"/>
      <c r="AM12" s="322"/>
      <c r="AN12" s="322"/>
    </row>
    <row r="13" spans="1:40" s="44" customFormat="1" ht="12" customHeight="1">
      <c r="A13" s="321"/>
      <c r="B13" s="324"/>
      <c r="C13" s="322"/>
      <c r="D13" s="129"/>
      <c r="E13" s="129"/>
      <c r="F13" s="259"/>
      <c r="G13" s="179"/>
      <c r="H13" s="322"/>
      <c r="I13" s="337"/>
      <c r="J13" s="120"/>
      <c r="K13" s="120"/>
      <c r="L13" s="120"/>
      <c r="M13" s="129"/>
      <c r="N13" s="129"/>
      <c r="O13" s="188"/>
      <c r="P13" s="188"/>
      <c r="Q13" s="322"/>
      <c r="R13" s="337"/>
      <c r="S13" s="337"/>
      <c r="T13" s="120"/>
      <c r="U13" s="120"/>
      <c r="V13" s="120"/>
      <c r="W13" s="129"/>
      <c r="X13" s="129"/>
      <c r="Y13" s="129"/>
      <c r="Z13" s="129"/>
      <c r="AA13" s="129"/>
      <c r="AB13" s="322"/>
      <c r="AC13" s="322"/>
      <c r="AD13" s="337"/>
      <c r="AE13" s="322"/>
      <c r="AF13" s="129"/>
      <c r="AG13" s="322"/>
      <c r="AH13" s="179"/>
      <c r="AI13" s="129"/>
      <c r="AJ13" s="129"/>
      <c r="AK13" s="239"/>
      <c r="AL13" s="322"/>
      <c r="AM13" s="322"/>
      <c r="AN13" s="322"/>
    </row>
    <row r="14" spans="1:40" s="44" customFormat="1" ht="12" customHeight="1">
      <c r="A14" s="321"/>
      <c r="B14" s="324"/>
      <c r="C14" s="322"/>
      <c r="D14" s="129"/>
      <c r="E14" s="129"/>
      <c r="F14" s="259"/>
      <c r="G14" s="179"/>
      <c r="H14" s="314"/>
      <c r="I14" s="318"/>
      <c r="J14" s="120"/>
      <c r="K14" s="120"/>
      <c r="L14" s="120"/>
      <c r="M14" s="129"/>
      <c r="N14" s="129"/>
      <c r="O14" s="188"/>
      <c r="P14" s="120"/>
      <c r="Q14" s="314"/>
      <c r="R14" s="318"/>
      <c r="S14" s="318"/>
      <c r="T14" s="120"/>
      <c r="U14" s="120"/>
      <c r="V14" s="120"/>
      <c r="W14" s="129"/>
      <c r="X14" s="129"/>
      <c r="Y14" s="129"/>
      <c r="Z14" s="129"/>
      <c r="AA14" s="129"/>
      <c r="AB14" s="314"/>
      <c r="AC14" s="314"/>
      <c r="AD14" s="318"/>
      <c r="AE14" s="314"/>
      <c r="AF14" s="129"/>
      <c r="AG14" s="314"/>
      <c r="AH14" s="179"/>
      <c r="AI14" s="129"/>
      <c r="AJ14" s="129"/>
      <c r="AK14" s="237"/>
      <c r="AL14" s="314"/>
      <c r="AM14" s="314"/>
      <c r="AN14" s="314"/>
    </row>
    <row r="15" spans="1:40" s="26" customFormat="1" ht="12" customHeight="1">
      <c r="A15" s="20">
        <v>4</v>
      </c>
      <c r="B15" s="37" t="s">
        <v>3</v>
      </c>
      <c r="C15" s="20">
        <f>SUM(C4:C14)</f>
        <v>13489.76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9"/>
      <c r="AG15" s="9"/>
      <c r="AH15" s="10"/>
      <c r="AI15" s="10"/>
      <c r="AJ15" s="62"/>
      <c r="AK15" s="62"/>
      <c r="AL15" s="62"/>
      <c r="AM15" s="62"/>
      <c r="AN15" s="62"/>
    </row>
    <row r="16" spans="23:25" ht="12.75" customHeight="1">
      <c r="W16" s="27"/>
      <c r="X16" s="27"/>
      <c r="Y16" s="27"/>
    </row>
    <row r="19" ht="12.75" customHeight="1"/>
    <row r="22" spans="36:40" ht="12.75">
      <c r="AJ22" s="26"/>
      <c r="AK22" s="26"/>
      <c r="AL22" s="26"/>
      <c r="AM22" s="26"/>
      <c r="AN22" s="26"/>
    </row>
    <row r="28" ht="12.75" customHeight="1"/>
    <row r="30" ht="33.75" customHeight="1"/>
  </sheetData>
  <sheetProtection/>
  <autoFilter ref="A1:AN15"/>
  <mergeCells count="57">
    <mergeCell ref="AG11:AG14"/>
    <mergeCell ref="AG7:AG10"/>
    <mergeCell ref="T2:V2"/>
    <mergeCell ref="J2:K2"/>
    <mergeCell ref="S5:S6"/>
    <mergeCell ref="S7:S10"/>
    <mergeCell ref="S11:S14"/>
    <mergeCell ref="Q5:Q6"/>
    <mergeCell ref="Q7:Q10"/>
    <mergeCell ref="Q11:Q14"/>
    <mergeCell ref="AN5:AN6"/>
    <mergeCell ref="AN7:AN10"/>
    <mergeCell ref="AN11:AN14"/>
    <mergeCell ref="R5:R6"/>
    <mergeCell ref="R7:R10"/>
    <mergeCell ref="R11:R14"/>
    <mergeCell ref="AL5:AL6"/>
    <mergeCell ref="AM5:AM6"/>
    <mergeCell ref="AL7:AL10"/>
    <mergeCell ref="AM7:AM10"/>
    <mergeCell ref="AL11:AL14"/>
    <mergeCell ref="AM11:AM14"/>
    <mergeCell ref="H5:H6"/>
    <mergeCell ref="H7:H10"/>
    <mergeCell ref="H11:H14"/>
    <mergeCell ref="I5:I6"/>
    <mergeCell ref="I7:I10"/>
    <mergeCell ref="AC7:AC10"/>
    <mergeCell ref="AC11:AC14"/>
    <mergeCell ref="I11:I14"/>
    <mergeCell ref="AD7:AD10"/>
    <mergeCell ref="AD11:AD14"/>
    <mergeCell ref="AE5:AE6"/>
    <mergeCell ref="AE7:AE10"/>
    <mergeCell ref="AE11:AE14"/>
    <mergeCell ref="Z2:AA2"/>
    <mergeCell ref="AB5:AB6"/>
    <mergeCell ref="AB7:AB10"/>
    <mergeCell ref="AB11:AB14"/>
    <mergeCell ref="C7:C10"/>
    <mergeCell ref="B5:B6"/>
    <mergeCell ref="C5:C6"/>
    <mergeCell ref="D2:E2"/>
    <mergeCell ref="M2:N2"/>
    <mergeCell ref="W2:Y2"/>
    <mergeCell ref="O2:P2"/>
    <mergeCell ref="F2:G2"/>
    <mergeCell ref="AK5:AK6"/>
    <mergeCell ref="AI2:AJ2"/>
    <mergeCell ref="AD5:AD6"/>
    <mergeCell ref="AC5:AC6"/>
    <mergeCell ref="A5:A6"/>
    <mergeCell ref="A11:A14"/>
    <mergeCell ref="C11:C14"/>
    <mergeCell ref="B11:B14"/>
    <mergeCell ref="B7:B10"/>
    <mergeCell ref="A7:A10"/>
  </mergeCells>
  <printOptions/>
  <pageMargins left="0.17" right="0.17" top="0.3937007874015748" bottom="0.3937007874015748" header="0" footer="0"/>
  <pageSetup horizontalDpi="300" verticalDpi="3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R22"/>
  <sheetViews>
    <sheetView zoomScalePageLayoutView="0" workbookViewId="0" topLeftCell="A1">
      <pane xSplit="3" topLeftCell="AB1" activePane="topRight" state="frozen"/>
      <selection pane="topLeft" activeCell="A1" sqref="A1"/>
      <selection pane="topRight" activeCell="AO8" sqref="AO8"/>
    </sheetView>
  </sheetViews>
  <sheetFormatPr defaultColWidth="9.140625" defaultRowHeight="12.75"/>
  <cols>
    <col min="1" max="1" width="6.28125" style="27" customWidth="1"/>
    <col min="2" max="2" width="19.7109375" style="26" customWidth="1"/>
    <col min="3" max="3" width="9.140625" style="26" customWidth="1"/>
    <col min="4" max="6" width="9.8515625" style="0" customWidth="1"/>
    <col min="7" max="7" width="10.28125" style="0" customWidth="1"/>
    <col min="8" max="9" width="9.57421875" style="0" customWidth="1"/>
    <col min="10" max="12" width="9.8515625" style="0" customWidth="1"/>
    <col min="13" max="13" width="9.57421875" style="0" customWidth="1"/>
    <col min="14" max="14" width="9.8515625" style="0" customWidth="1"/>
    <col min="15" max="15" width="9.140625" style="0" customWidth="1"/>
    <col min="16" max="16" width="10.8515625" style="0" bestFit="1" customWidth="1"/>
    <col min="17" max="17" width="10.00390625" style="0" customWidth="1"/>
    <col min="18" max="28" width="9.57421875" style="0" customWidth="1"/>
    <col min="29" max="29" width="11.140625" style="0" bestFit="1" customWidth="1"/>
    <col min="30" max="35" width="9.28125" style="0" customWidth="1"/>
    <col min="36" max="36" width="7.8515625" style="0" customWidth="1"/>
    <col min="37" max="37" width="8.28125" style="0" customWidth="1"/>
    <col min="38" max="38" width="9.00390625" style="0" customWidth="1"/>
    <col min="39" max="41" width="9.28125" style="0" customWidth="1"/>
    <col min="42" max="42" width="10.00390625" style="0" customWidth="1"/>
    <col min="43" max="43" width="13.140625" style="0" customWidth="1"/>
    <col min="44" max="44" width="11.140625" style="0" bestFit="1" customWidth="1"/>
  </cols>
  <sheetData>
    <row r="1" spans="1:4" ht="15" customHeight="1">
      <c r="A1" s="1"/>
      <c r="B1" s="2"/>
      <c r="C1" s="2"/>
      <c r="D1" s="3"/>
    </row>
    <row r="2" spans="1:44" ht="12.75">
      <c r="A2" s="363" t="s">
        <v>135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</row>
    <row r="3" spans="1:9" ht="13.5" thickBot="1">
      <c r="A3" s="367"/>
      <c r="B3" s="367"/>
      <c r="C3" s="367"/>
      <c r="D3" s="367"/>
      <c r="E3" s="367"/>
      <c r="F3" s="367"/>
      <c r="G3" s="367"/>
      <c r="H3" s="367"/>
      <c r="I3" s="367"/>
    </row>
    <row r="4" spans="1:44" ht="30.75" thickBot="1">
      <c r="A4" s="58" t="s">
        <v>0</v>
      </c>
      <c r="B4" s="5" t="s">
        <v>1</v>
      </c>
      <c r="C4" s="60" t="s">
        <v>2</v>
      </c>
      <c r="D4" s="364" t="s">
        <v>38</v>
      </c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6"/>
      <c r="Q4" s="364" t="s">
        <v>39</v>
      </c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6"/>
      <c r="AD4" s="364" t="s">
        <v>40</v>
      </c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6"/>
      <c r="AQ4" s="54" t="s">
        <v>89</v>
      </c>
      <c r="AR4" s="28" t="s">
        <v>41</v>
      </c>
    </row>
    <row r="5" spans="1:44" ht="12" customHeight="1" thickBot="1">
      <c r="A5" s="23"/>
      <c r="B5" s="211"/>
      <c r="C5" s="23"/>
      <c r="D5" s="32" t="s">
        <v>42</v>
      </c>
      <c r="E5" s="32" t="s">
        <v>43</v>
      </c>
      <c r="F5" s="32" t="s">
        <v>44</v>
      </c>
      <c r="G5" s="32" t="s">
        <v>45</v>
      </c>
      <c r="H5" s="32" t="s">
        <v>46</v>
      </c>
      <c r="I5" s="32" t="s">
        <v>47</v>
      </c>
      <c r="J5" s="32" t="s">
        <v>48</v>
      </c>
      <c r="K5" s="32" t="s">
        <v>49</v>
      </c>
      <c r="L5" s="32" t="s">
        <v>50</v>
      </c>
      <c r="M5" s="32" t="s">
        <v>51</v>
      </c>
      <c r="N5" s="32" t="s">
        <v>52</v>
      </c>
      <c r="O5" s="32" t="s">
        <v>53</v>
      </c>
      <c r="P5" s="32" t="s">
        <v>54</v>
      </c>
      <c r="Q5" s="32" t="s">
        <v>42</v>
      </c>
      <c r="R5" s="32" t="s">
        <v>43</v>
      </c>
      <c r="S5" s="32" t="s">
        <v>44</v>
      </c>
      <c r="T5" s="32" t="s">
        <v>45</v>
      </c>
      <c r="U5" s="32" t="s">
        <v>46</v>
      </c>
      <c r="V5" s="32" t="s">
        <v>47</v>
      </c>
      <c r="W5" s="32" t="s">
        <v>48</v>
      </c>
      <c r="X5" s="32" t="s">
        <v>49</v>
      </c>
      <c r="Y5" s="32" t="s">
        <v>50</v>
      </c>
      <c r="Z5" s="32" t="s">
        <v>51</v>
      </c>
      <c r="AA5" s="32" t="s">
        <v>52</v>
      </c>
      <c r="AB5" s="32" t="s">
        <v>53</v>
      </c>
      <c r="AC5" s="32" t="s">
        <v>54</v>
      </c>
      <c r="AD5" s="32" t="s">
        <v>42</v>
      </c>
      <c r="AE5" s="32" t="s">
        <v>43</v>
      </c>
      <c r="AF5" s="32" t="s">
        <v>44</v>
      </c>
      <c r="AG5" s="32" t="s">
        <v>45</v>
      </c>
      <c r="AH5" s="32" t="s">
        <v>46</v>
      </c>
      <c r="AI5" s="32" t="s">
        <v>47</v>
      </c>
      <c r="AJ5" s="32" t="s">
        <v>48</v>
      </c>
      <c r="AK5" s="32" t="s">
        <v>49</v>
      </c>
      <c r="AL5" s="32" t="s">
        <v>50</v>
      </c>
      <c r="AM5" s="32" t="s">
        <v>51</v>
      </c>
      <c r="AN5" s="32" t="s">
        <v>52</v>
      </c>
      <c r="AO5" s="32" t="s">
        <v>53</v>
      </c>
      <c r="AP5" s="32" t="s">
        <v>54</v>
      </c>
      <c r="AQ5" s="30" t="s">
        <v>54</v>
      </c>
      <c r="AR5" s="32"/>
    </row>
    <row r="6" spans="1:44" s="51" customFormat="1" ht="12" customHeight="1">
      <c r="A6" s="368" t="s">
        <v>87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70"/>
    </row>
    <row r="7" spans="1:44" ht="12" customHeight="1">
      <c r="A7" s="10">
        <v>1</v>
      </c>
      <c r="B7" s="9" t="s">
        <v>84</v>
      </c>
      <c r="C7" s="89">
        <v>3408</v>
      </c>
      <c r="D7" s="99"/>
      <c r="E7" s="99"/>
      <c r="F7" s="99"/>
      <c r="G7" s="99"/>
      <c r="H7" s="99"/>
      <c r="I7" s="99">
        <f>18000</f>
        <v>18000</v>
      </c>
      <c r="J7" s="99">
        <f>70000+36389.31</f>
        <v>106389.31</v>
      </c>
      <c r="K7" s="99">
        <f>604.55+42180.39+20050+78000+23794</f>
        <v>164628.94</v>
      </c>
      <c r="L7" s="99">
        <f>17600+26710.56+5000+24480</f>
        <v>73790.56</v>
      </c>
      <c r="M7" s="99">
        <f>9355.04+51200</f>
        <v>60555.04</v>
      </c>
      <c r="N7" s="99"/>
      <c r="O7" s="99"/>
      <c r="P7" s="99">
        <f>SUM(D7:O7)</f>
        <v>423363.85</v>
      </c>
      <c r="Q7" s="99">
        <f>C7*395084.84/117788.23</f>
        <v>11431.100838513323</v>
      </c>
      <c r="R7" s="99">
        <f>C7*394125.33/117783.21</f>
        <v>11403.825083727977</v>
      </c>
      <c r="S7" s="99">
        <f>C7*375496.07/117783.31</f>
        <v>10864.787265360432</v>
      </c>
      <c r="T7" s="99">
        <f>C7*393605.73/117782.81</f>
        <v>11388.829387242502</v>
      </c>
      <c r="U7" s="99">
        <f>C7*396218.88/117779.21</f>
        <v>11464.790288880355</v>
      </c>
      <c r="V7" s="99">
        <f>C7*398895.03/117778.91</f>
        <v>11542.255419412524</v>
      </c>
      <c r="W7" s="99">
        <f>C7*399138.1/117779.01</f>
        <v>11549.278982732152</v>
      </c>
      <c r="X7" s="99">
        <f>C7*399125.56/117775.31</f>
        <v>11549.27894887307</v>
      </c>
      <c r="Y7" s="99">
        <f>C7*387842.91/117767.21</f>
        <v>11223.570952220061</v>
      </c>
      <c r="Z7" s="99">
        <f>C7*399096.75/117766.81</f>
        <v>11549.278816332038</v>
      </c>
      <c r="AA7" s="106">
        <f>C7*384546.83/113473.37</f>
        <v>11549.278889311212</v>
      </c>
      <c r="AB7" s="106">
        <f>C7*384567.84/113479.57</f>
        <v>11549.278858917072</v>
      </c>
      <c r="AC7" s="102">
        <f>SUM(Q7:AB7)</f>
        <v>137065.55373152273</v>
      </c>
      <c r="AD7" s="287">
        <f>C7*16874.97/117788.23</f>
        <v>488.24825502514136</v>
      </c>
      <c r="AE7" s="106">
        <f>C7*34963.28/117783.21</f>
        <v>1011.6455328395277</v>
      </c>
      <c r="AF7" s="99">
        <f>C7*46264.68/117783.31</f>
        <v>1338.6449187070732</v>
      </c>
      <c r="AG7" s="99">
        <f>C7*68733.89/117782.81</f>
        <v>1988.7884923105503</v>
      </c>
      <c r="AH7" s="99">
        <f>C7*36198.99/117779.21</f>
        <v>1047.4357734272455</v>
      </c>
      <c r="AI7" s="99">
        <f>C7*41351.61/117778.91</f>
        <v>1196.5324426928385</v>
      </c>
      <c r="AJ7" s="99">
        <f>C7*39712.38/117779.01</f>
        <v>1149.099411176915</v>
      </c>
      <c r="AK7" s="102"/>
      <c r="AL7" s="99">
        <f>C7*36087.03/117767.21</f>
        <v>1044.3025545056216</v>
      </c>
      <c r="AM7" s="99">
        <f>C7*83426.77/117766.81</f>
        <v>2414.2492452669817</v>
      </c>
      <c r="AN7" s="99">
        <f>C7*73586.44/113473.37</f>
        <v>2210.0567518176294</v>
      </c>
      <c r="AO7" s="102">
        <f>C7*46198.99/113479.57</f>
        <v>1387.4405579788502</v>
      </c>
      <c r="AP7" s="102">
        <f>SUM(AD7:AO7)</f>
        <v>15276.443935748375</v>
      </c>
      <c r="AQ7" s="32"/>
      <c r="AR7" s="115">
        <f>P7+AC7+AP7+AQ7</f>
        <v>575705.8476672712</v>
      </c>
    </row>
    <row r="8" spans="1:44" ht="12" customHeight="1">
      <c r="A8" s="10">
        <v>2</v>
      </c>
      <c r="B8" s="9" t="s">
        <v>85</v>
      </c>
      <c r="C8" s="89">
        <v>3435.6</v>
      </c>
      <c r="D8" s="99"/>
      <c r="E8" s="99"/>
      <c r="F8" s="99">
        <v>23072.26</v>
      </c>
      <c r="G8" s="99">
        <f>17500</f>
        <v>17500</v>
      </c>
      <c r="H8" s="99"/>
      <c r="I8" s="99">
        <f>8934.81+18000</f>
        <v>26934.809999999998</v>
      </c>
      <c r="J8" s="99">
        <f>70000+29057.22</f>
        <v>99057.22</v>
      </c>
      <c r="K8" s="99">
        <f>604.55+42180.39+6273.31+20050+78000</f>
        <v>147108.25</v>
      </c>
      <c r="L8" s="99">
        <f>17600+26885.08+5000+24480</f>
        <v>73965.08</v>
      </c>
      <c r="M8" s="99"/>
      <c r="N8" s="99"/>
      <c r="O8" s="99"/>
      <c r="P8" s="99">
        <f>SUM(D8:O8)</f>
        <v>387637.62</v>
      </c>
      <c r="Q8" s="99">
        <f>C8*395084.84/117788.23</f>
        <v>11523.676655163255</v>
      </c>
      <c r="R8" s="99">
        <f>C8*394125.33/117783.21</f>
        <v>11496.180005180702</v>
      </c>
      <c r="S8" s="99">
        <f>C8*375496.07/117783.31</f>
        <v>10952.776739692576</v>
      </c>
      <c r="T8" s="99">
        <f>C8*393605.73/117782.81</f>
        <v>11481.062864674395</v>
      </c>
      <c r="U8" s="99">
        <f>C8*396218.88/117779.21</f>
        <v>11557.63894262833</v>
      </c>
      <c r="V8" s="99">
        <f>C8*398895.03/117778.91</f>
        <v>11635.731431611992</v>
      </c>
      <c r="W8" s="99">
        <f>C8*399138.1/117779.01</f>
        <v>11642.811875902165</v>
      </c>
      <c r="X8" s="99">
        <f>C8*399125.56/117775.31</f>
        <v>11642.811841768873</v>
      </c>
      <c r="Y8" s="99">
        <f>C8*387842.91/117767.21</f>
        <v>11314.466069086631</v>
      </c>
      <c r="Z8" s="99">
        <f>C8*399096.75/117766.81</f>
        <v>11642.811708154444</v>
      </c>
      <c r="AA8" s="106">
        <f>C8*384546.83/113473.37</f>
        <v>11642.811781724646</v>
      </c>
      <c r="AB8" s="106">
        <f>C8*384567.84/113479.57</f>
        <v>11642.811751084359</v>
      </c>
      <c r="AC8" s="102">
        <f>SUM(Q8:AB8)</f>
        <v>138175.59166667238</v>
      </c>
      <c r="AD8" s="287">
        <f>C8*16874.97/117788.23</f>
        <v>492.20237821724635</v>
      </c>
      <c r="AE8" s="106">
        <f>C8*34963.28/117783.21</f>
        <v>1019.8384368026647</v>
      </c>
      <c r="AF8" s="99">
        <f>C8*46264.68/117783.31</f>
        <v>1349.4860571332222</v>
      </c>
      <c r="AG8" s="99">
        <f>C8*68733.89/117782.81</f>
        <v>2004.8948779877132</v>
      </c>
      <c r="AH8" s="99">
        <f>C8*36198.99/117779.21</f>
        <v>1055.9185279303535</v>
      </c>
      <c r="AI8" s="99">
        <f>C8*41351.61/117778.91</f>
        <v>1206.222670221689</v>
      </c>
      <c r="AJ8" s="99">
        <f>C8*39712.38/117779.01</f>
        <v>1158.4054979575733</v>
      </c>
      <c r="AK8" s="102"/>
      <c r="AL8" s="99">
        <f>C8*36087.03/117767.21</f>
        <v>1052.7599343484487</v>
      </c>
      <c r="AM8" s="99">
        <f>C8*83426.77/117766.81</f>
        <v>2433.8012638025943</v>
      </c>
      <c r="AN8" s="99">
        <f>C8*73586.44/113473.37</f>
        <v>2227.9550987513635</v>
      </c>
      <c r="AO8" s="102">
        <f>C8*46198.99/113479.57</f>
        <v>1398.676872356848</v>
      </c>
      <c r="AP8" s="102">
        <f>SUM(AD8:AO8)</f>
        <v>15400.161615509716</v>
      </c>
      <c r="AQ8" s="32"/>
      <c r="AR8" s="115">
        <f>P8+AC8+AP8+AQ8</f>
        <v>541213.3732821821</v>
      </c>
    </row>
    <row r="9" spans="1:44" s="72" customFormat="1" ht="12" customHeight="1" thickBot="1">
      <c r="A9" s="75">
        <v>2</v>
      </c>
      <c r="B9" s="71" t="s">
        <v>41</v>
      </c>
      <c r="C9" s="94">
        <f aca="true" t="shared" si="0" ref="C9:AL9">C7+C8</f>
        <v>6843.6</v>
      </c>
      <c r="D9" s="94">
        <f t="shared" si="0"/>
        <v>0</v>
      </c>
      <c r="E9" s="94">
        <f t="shared" si="0"/>
        <v>0</v>
      </c>
      <c r="F9" s="94">
        <f t="shared" si="0"/>
        <v>23072.26</v>
      </c>
      <c r="G9" s="94">
        <f t="shared" si="0"/>
        <v>17500</v>
      </c>
      <c r="H9" s="94">
        <f t="shared" si="0"/>
        <v>0</v>
      </c>
      <c r="I9" s="94">
        <f t="shared" si="0"/>
        <v>44934.81</v>
      </c>
      <c r="J9" s="94">
        <f t="shared" si="0"/>
        <v>205446.53</v>
      </c>
      <c r="K9" s="94">
        <f t="shared" si="0"/>
        <v>311737.19</v>
      </c>
      <c r="L9" s="94">
        <f t="shared" si="0"/>
        <v>147755.64</v>
      </c>
      <c r="M9" s="94">
        <f t="shared" si="0"/>
        <v>60555.04</v>
      </c>
      <c r="N9" s="94">
        <f t="shared" si="0"/>
        <v>0</v>
      </c>
      <c r="O9" s="94">
        <f t="shared" si="0"/>
        <v>0</v>
      </c>
      <c r="P9" s="94">
        <f>P7+P8</f>
        <v>811001.47</v>
      </c>
      <c r="Q9" s="94">
        <f t="shared" si="0"/>
        <v>22954.777493676578</v>
      </c>
      <c r="R9" s="94">
        <f t="shared" si="0"/>
        <v>22900.005088908678</v>
      </c>
      <c r="S9" s="94">
        <f t="shared" si="0"/>
        <v>21817.564005053006</v>
      </c>
      <c r="T9" s="94">
        <f t="shared" si="0"/>
        <v>22869.8922519169</v>
      </c>
      <c r="U9" s="94">
        <f t="shared" si="0"/>
        <v>23022.429231508686</v>
      </c>
      <c r="V9" s="94">
        <f t="shared" si="0"/>
        <v>23177.986851024514</v>
      </c>
      <c r="W9" s="94">
        <f t="shared" si="0"/>
        <v>23192.090858634318</v>
      </c>
      <c r="X9" s="94">
        <f t="shared" si="0"/>
        <v>23192.090790641945</v>
      </c>
      <c r="Y9" s="94">
        <f t="shared" si="0"/>
        <v>22538.037021306693</v>
      </c>
      <c r="Z9" s="94">
        <f t="shared" si="0"/>
        <v>23192.090524486484</v>
      </c>
      <c r="AA9" s="94">
        <f t="shared" si="0"/>
        <v>23192.090671035858</v>
      </c>
      <c r="AB9" s="94">
        <f t="shared" si="0"/>
        <v>23192.090610001433</v>
      </c>
      <c r="AC9" s="94">
        <f t="shared" si="0"/>
        <v>275241.14539819513</v>
      </c>
      <c r="AD9" s="94">
        <f t="shared" si="0"/>
        <v>980.4506332423878</v>
      </c>
      <c r="AE9" s="94">
        <f t="shared" si="0"/>
        <v>2031.4839696421923</v>
      </c>
      <c r="AF9" s="94">
        <f t="shared" si="0"/>
        <v>2688.1309758402954</v>
      </c>
      <c r="AG9" s="94">
        <f t="shared" si="0"/>
        <v>3993.6833702982635</v>
      </c>
      <c r="AH9" s="94">
        <f t="shared" si="0"/>
        <v>2103.354301357599</v>
      </c>
      <c r="AI9" s="94">
        <f t="shared" si="0"/>
        <v>2402.7551129145277</v>
      </c>
      <c r="AJ9" s="94">
        <f t="shared" si="0"/>
        <v>2307.504909134488</v>
      </c>
      <c r="AK9" s="94">
        <f t="shared" si="0"/>
        <v>0</v>
      </c>
      <c r="AL9" s="94">
        <f t="shared" si="0"/>
        <v>2097.0624888540706</v>
      </c>
      <c r="AM9" s="94">
        <f aca="true" t="shared" si="1" ref="AM9:AR9">AM7+AM8</f>
        <v>4848.050509069576</v>
      </c>
      <c r="AN9" s="94">
        <f t="shared" si="1"/>
        <v>4438.011850568993</v>
      </c>
      <c r="AO9" s="94">
        <f t="shared" si="1"/>
        <v>2786.1174303356984</v>
      </c>
      <c r="AP9" s="94">
        <f t="shared" si="1"/>
        <v>30676.605551258093</v>
      </c>
      <c r="AQ9" s="70">
        <f t="shared" si="1"/>
        <v>0</v>
      </c>
      <c r="AR9" s="116">
        <f t="shared" si="1"/>
        <v>1116919.2209494533</v>
      </c>
    </row>
    <row r="10" spans="4:16" ht="12.75"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12.75">
      <c r="A11" s="46" t="s">
        <v>66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2.75">
      <c r="A12" s="46" t="s">
        <v>67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ht="12.75">
      <c r="A13" s="46" t="s">
        <v>68</v>
      </c>
    </row>
    <row r="14" ht="12.75">
      <c r="A14" s="46" t="s">
        <v>69</v>
      </c>
    </row>
    <row r="15" ht="12.75">
      <c r="A15" s="46" t="s">
        <v>70</v>
      </c>
    </row>
    <row r="16" ht="12.75">
      <c r="A16" s="46"/>
    </row>
    <row r="17" ht="12.75">
      <c r="A17" s="46" t="s">
        <v>71</v>
      </c>
    </row>
    <row r="18" ht="12.75">
      <c r="A18" s="46" t="s">
        <v>72</v>
      </c>
    </row>
    <row r="19" ht="12.75">
      <c r="A19" s="46" t="s">
        <v>73</v>
      </c>
    </row>
    <row r="20" ht="12.75">
      <c r="A20" s="46" t="s">
        <v>74</v>
      </c>
    </row>
    <row r="21" ht="12.75">
      <c r="A21" s="46"/>
    </row>
    <row r="22" ht="12.75">
      <c r="A22" s="46" t="s">
        <v>75</v>
      </c>
    </row>
  </sheetData>
  <sheetProtection/>
  <mergeCells count="6">
    <mergeCell ref="A2:AR2"/>
    <mergeCell ref="A3:I3"/>
    <mergeCell ref="D4:P4"/>
    <mergeCell ref="Q4:AC4"/>
    <mergeCell ref="AD4:AP4"/>
    <mergeCell ref="A6:AR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S22"/>
  <sheetViews>
    <sheetView zoomScalePageLayoutView="0" workbookViewId="0" topLeftCell="A1">
      <pane xSplit="3" topLeftCell="Z1" activePane="topRight" state="frozen"/>
      <selection pane="topLeft" activeCell="A1" sqref="A1"/>
      <selection pane="topRight" activeCell="AO8" sqref="AO8"/>
    </sheetView>
  </sheetViews>
  <sheetFormatPr defaultColWidth="9.140625" defaultRowHeight="12.75"/>
  <cols>
    <col min="1" max="1" width="6.28125" style="27" customWidth="1"/>
    <col min="2" max="2" width="19.7109375" style="26" customWidth="1"/>
    <col min="3" max="3" width="9.140625" style="26" customWidth="1"/>
    <col min="4" max="6" width="9.8515625" style="0" customWidth="1"/>
    <col min="7" max="7" width="9.140625" style="0" customWidth="1"/>
    <col min="8" max="9" width="9.57421875" style="0" customWidth="1"/>
    <col min="10" max="12" width="9.8515625" style="0" customWidth="1"/>
    <col min="13" max="13" width="9.57421875" style="0" customWidth="1"/>
    <col min="14" max="14" width="9.8515625" style="0" customWidth="1"/>
    <col min="15" max="15" width="9.140625" style="0" customWidth="1"/>
    <col min="16" max="16" width="10.8515625" style="0" bestFit="1" customWidth="1"/>
    <col min="17" max="17" width="10.57421875" style="0" customWidth="1"/>
    <col min="18" max="28" width="9.57421875" style="0" customWidth="1"/>
    <col min="29" max="29" width="11.140625" style="0" bestFit="1" customWidth="1"/>
    <col min="30" max="33" width="9.28125" style="0" customWidth="1"/>
    <col min="34" max="37" width="8.140625" style="0" customWidth="1"/>
    <col min="38" max="39" width="9.28125" style="0" customWidth="1"/>
    <col min="40" max="40" width="7.8515625" style="0" customWidth="1"/>
    <col min="41" max="41" width="9.28125" style="0" customWidth="1"/>
    <col min="42" max="42" width="12.140625" style="0" customWidth="1"/>
    <col min="43" max="43" width="12.00390625" style="0" customWidth="1"/>
    <col min="44" max="44" width="12.8515625" style="0" customWidth="1"/>
    <col min="45" max="45" width="11.140625" style="0" bestFit="1" customWidth="1"/>
  </cols>
  <sheetData>
    <row r="1" spans="1:4" ht="15" customHeight="1">
      <c r="A1" s="1"/>
      <c r="B1" s="2"/>
      <c r="C1" s="2"/>
      <c r="D1" s="3"/>
    </row>
    <row r="2" spans="1:45" ht="12.75">
      <c r="A2" s="363" t="s">
        <v>135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</row>
    <row r="3" spans="1:9" ht="13.5" thickBot="1">
      <c r="A3" s="367"/>
      <c r="B3" s="367"/>
      <c r="C3" s="367"/>
      <c r="D3" s="367"/>
      <c r="E3" s="367"/>
      <c r="F3" s="367"/>
      <c r="G3" s="367"/>
      <c r="H3" s="367"/>
      <c r="I3" s="367"/>
    </row>
    <row r="4" spans="1:45" ht="30.75" thickBot="1">
      <c r="A4" s="58" t="s">
        <v>0</v>
      </c>
      <c r="B4" s="5" t="s">
        <v>1</v>
      </c>
      <c r="C4" s="60" t="s">
        <v>2</v>
      </c>
      <c r="D4" s="364" t="s">
        <v>38</v>
      </c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6"/>
      <c r="Q4" s="364" t="s">
        <v>39</v>
      </c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6"/>
      <c r="AD4" s="364" t="s">
        <v>40</v>
      </c>
      <c r="AE4" s="365"/>
      <c r="AF4" s="365"/>
      <c r="AG4" s="365"/>
      <c r="AH4" s="365"/>
      <c r="AI4" s="365"/>
      <c r="AJ4" s="365"/>
      <c r="AK4" s="365"/>
      <c r="AL4" s="365"/>
      <c r="AM4" s="365"/>
      <c r="AN4" s="371"/>
      <c r="AO4" s="365"/>
      <c r="AP4" s="366"/>
      <c r="AQ4" s="54" t="s">
        <v>93</v>
      </c>
      <c r="AR4" s="54" t="s">
        <v>89</v>
      </c>
      <c r="AS4" s="28" t="s">
        <v>41</v>
      </c>
    </row>
    <row r="5" spans="1:45" ht="12" customHeight="1" thickBot="1">
      <c r="A5" s="23"/>
      <c r="B5" s="211"/>
      <c r="C5" s="23"/>
      <c r="D5" s="32" t="s">
        <v>42</v>
      </c>
      <c r="E5" s="32" t="s">
        <v>43</v>
      </c>
      <c r="F5" s="32" t="s">
        <v>44</v>
      </c>
      <c r="G5" s="32" t="s">
        <v>45</v>
      </c>
      <c r="H5" s="32" t="s">
        <v>46</v>
      </c>
      <c r="I5" s="32" t="s">
        <v>47</v>
      </c>
      <c r="J5" s="32" t="s">
        <v>48</v>
      </c>
      <c r="K5" s="32" t="s">
        <v>49</v>
      </c>
      <c r="L5" s="32" t="s">
        <v>50</v>
      </c>
      <c r="M5" s="32" t="s">
        <v>51</v>
      </c>
      <c r="N5" s="32" t="s">
        <v>52</v>
      </c>
      <c r="O5" s="32" t="s">
        <v>53</v>
      </c>
      <c r="P5" s="32" t="s">
        <v>54</v>
      </c>
      <c r="Q5" s="32" t="s">
        <v>42</v>
      </c>
      <c r="R5" s="32" t="s">
        <v>43</v>
      </c>
      <c r="S5" s="32" t="s">
        <v>44</v>
      </c>
      <c r="T5" s="32" t="s">
        <v>45</v>
      </c>
      <c r="U5" s="32" t="s">
        <v>46</v>
      </c>
      <c r="V5" s="32" t="s">
        <v>47</v>
      </c>
      <c r="W5" s="32" t="s">
        <v>48</v>
      </c>
      <c r="X5" s="32" t="s">
        <v>49</v>
      </c>
      <c r="Y5" s="32" t="s">
        <v>50</v>
      </c>
      <c r="Z5" s="32" t="s">
        <v>51</v>
      </c>
      <c r="AA5" s="32" t="s">
        <v>52</v>
      </c>
      <c r="AB5" s="32" t="s">
        <v>53</v>
      </c>
      <c r="AC5" s="55" t="s">
        <v>54</v>
      </c>
      <c r="AD5" s="56" t="s">
        <v>42</v>
      </c>
      <c r="AE5" s="32" t="s">
        <v>43</v>
      </c>
      <c r="AF5" s="32" t="s">
        <v>44</v>
      </c>
      <c r="AG5" s="32" t="s">
        <v>45</v>
      </c>
      <c r="AH5" s="32" t="s">
        <v>46</v>
      </c>
      <c r="AI5" s="32" t="s">
        <v>47</v>
      </c>
      <c r="AJ5" s="32" t="s">
        <v>48</v>
      </c>
      <c r="AK5" s="32" t="s">
        <v>49</v>
      </c>
      <c r="AL5" s="32" t="s">
        <v>50</v>
      </c>
      <c r="AM5" s="55" t="s">
        <v>51</v>
      </c>
      <c r="AN5" s="32" t="s">
        <v>52</v>
      </c>
      <c r="AO5" s="36" t="s">
        <v>53</v>
      </c>
      <c r="AP5" s="68" t="s">
        <v>54</v>
      </c>
      <c r="AQ5" s="69" t="s">
        <v>92</v>
      </c>
      <c r="AR5" s="30" t="s">
        <v>54</v>
      </c>
      <c r="AS5" s="57"/>
    </row>
    <row r="6" spans="1:45" s="51" customFormat="1" ht="12" customHeight="1">
      <c r="A6" s="368" t="s">
        <v>81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72"/>
    </row>
    <row r="7" spans="1:45" ht="12" customHeight="1">
      <c r="A7" s="10">
        <v>1</v>
      </c>
      <c r="B7" s="9" t="s">
        <v>82</v>
      </c>
      <c r="C7" s="89">
        <v>4768.6</v>
      </c>
      <c r="D7" s="99"/>
      <c r="E7" s="99"/>
      <c r="F7" s="99"/>
      <c r="G7" s="99"/>
      <c r="H7" s="99"/>
      <c r="I7" s="99">
        <f>42180.39</f>
        <v>42180.39</v>
      </c>
      <c r="J7" s="99"/>
      <c r="K7" s="99">
        <f>604.55</f>
        <v>604.55</v>
      </c>
      <c r="L7" s="99">
        <f>37318.56</f>
        <v>37318.56</v>
      </c>
      <c r="M7" s="99"/>
      <c r="N7" s="99">
        <f>13981.29</f>
        <v>13981.29</v>
      </c>
      <c r="O7" s="99"/>
      <c r="P7" s="102">
        <f>SUM(D7:O7)</f>
        <v>94084.79000000001</v>
      </c>
      <c r="Q7" s="99">
        <f>C7*395084.84/117788.23</f>
        <v>15994.820263654528</v>
      </c>
      <c r="R7" s="99">
        <f>C7*394125.33/117783.21</f>
        <v>15956.6550159229</v>
      </c>
      <c r="S7" s="99">
        <f>C7*375496.07/117783.31</f>
        <v>15202.413307980563</v>
      </c>
      <c r="T7" s="99">
        <f>C7*393605.73/117782.81</f>
        <v>15935.672481222005</v>
      </c>
      <c r="U7" s="99">
        <f>C7*396218.88/117779.21</f>
        <v>16041.959792122907</v>
      </c>
      <c r="V7" s="99">
        <f>C7*398895.03/117778.91</f>
        <v>16150.351875883383</v>
      </c>
      <c r="W7" s="99">
        <f>C7*399138.1/117779.01</f>
        <v>16160.179506178563</v>
      </c>
      <c r="X7" s="99">
        <f>C7*399125.56/117775.31</f>
        <v>16160.17945880168</v>
      </c>
      <c r="Y7" s="99">
        <f>C7*387842.91/117767.21</f>
        <v>15704.436749635148</v>
      </c>
      <c r="Z7" s="99">
        <f>C7*399096.75/117766.81</f>
        <v>16160.179273345353</v>
      </c>
      <c r="AA7" s="106">
        <f>C7*384546.83/113473.37</f>
        <v>16160.179375460517</v>
      </c>
      <c r="AB7" s="106">
        <f>C7*384567.84/113479.57</f>
        <v>16160.179332931912</v>
      </c>
      <c r="AC7" s="212">
        <f>SUM(Q7:AB7)</f>
        <v>191787.20643313948</v>
      </c>
      <c r="AD7" s="287">
        <f>C7*16874.97/117788.23</f>
        <v>683.175067169275</v>
      </c>
      <c r="AE7" s="106">
        <f>C7*34963.28/117783.21</f>
        <v>1415.5319506744638</v>
      </c>
      <c r="AF7" s="99">
        <f>C7*46264.68/117783.31</f>
        <v>1873.0816195265697</v>
      </c>
      <c r="AG7" s="99">
        <f>C7*68733.89/117782.81</f>
        <v>2782.786621018806</v>
      </c>
      <c r="AH7" s="99">
        <f>C7*36198.99/117779.21</f>
        <v>1465.6109827362573</v>
      </c>
      <c r="AI7" s="99">
        <f>C7*41351.61/117778.91</f>
        <v>1674.2325722491405</v>
      </c>
      <c r="AJ7" s="99">
        <f>C7*39712.38/117779.01</f>
        <v>1607.8625152987788</v>
      </c>
      <c r="AK7" s="102"/>
      <c r="AL7" s="99">
        <f>C7*36087.03/117767.21</f>
        <v>1461.2268666125317</v>
      </c>
      <c r="AM7" s="99">
        <f>C7*83426.77/117766.81</f>
        <v>3378.1070865552024</v>
      </c>
      <c r="AN7" s="99">
        <f>C7*73586.44/113473.37</f>
        <v>3092.393376384257</v>
      </c>
      <c r="AO7" s="102">
        <f>C7*46198.99/113479.57</f>
        <v>1941.3582877869558</v>
      </c>
      <c r="AP7" s="102">
        <f>SUM(AD7:AO7)</f>
        <v>21375.366946012236</v>
      </c>
      <c r="AQ7" s="117"/>
      <c r="AR7" s="117"/>
      <c r="AS7" s="118">
        <f>P7+AC7+AP7+AQ7+AR7</f>
        <v>307247.36337915173</v>
      </c>
    </row>
    <row r="8" spans="1:45" ht="12" customHeight="1">
      <c r="A8" s="10">
        <v>2</v>
      </c>
      <c r="B8" s="9" t="s">
        <v>83</v>
      </c>
      <c r="C8" s="89">
        <v>4278</v>
      </c>
      <c r="D8" s="99"/>
      <c r="E8" s="99"/>
      <c r="F8" s="99">
        <v>23072.26</v>
      </c>
      <c r="G8" s="99"/>
      <c r="H8" s="99"/>
      <c r="I8" s="99">
        <f>42180.39+8934.81</f>
        <v>51115.2</v>
      </c>
      <c r="J8" s="99">
        <f>7332.09</f>
        <v>7332.09</v>
      </c>
      <c r="K8" s="99">
        <f>604.55</f>
        <v>604.55</v>
      </c>
      <c r="L8" s="102">
        <f>33491.7</f>
        <v>33491.7</v>
      </c>
      <c r="M8" s="99">
        <f>35000</f>
        <v>35000</v>
      </c>
      <c r="N8" s="99"/>
      <c r="O8" s="99">
        <f>7348.62</f>
        <v>7348.62</v>
      </c>
      <c r="P8" s="102">
        <f>SUM(D8:O8)</f>
        <v>157964.41999999998</v>
      </c>
      <c r="Q8" s="99">
        <f>C8*395084.84/117788.23</f>
        <v>14349.251580739436</v>
      </c>
      <c r="R8" s="99">
        <f>C8*394125.33/117783.21</f>
        <v>14315.01282517262</v>
      </c>
      <c r="S8" s="99">
        <f>C8*375496.07/117783.31</f>
        <v>13638.368521482374</v>
      </c>
      <c r="T8" s="99">
        <f>C8*393605.73/117782.81</f>
        <v>14296.18900194349</v>
      </c>
      <c r="U8" s="99">
        <f>C8*396218.88/117779.21</f>
        <v>14391.54133093608</v>
      </c>
      <c r="V8" s="99">
        <f>C8*398895.03/117778.91</f>
        <v>14488.781890917484</v>
      </c>
      <c r="W8" s="99">
        <f>C8*399138.1/117779.01</f>
        <v>14497.598441352156</v>
      </c>
      <c r="X8" s="99">
        <f>C8*399125.56/117775.31</f>
        <v>14497.598398849472</v>
      </c>
      <c r="Y8" s="99">
        <f>C8*387842.91/117767.21</f>
        <v>14088.743114318491</v>
      </c>
      <c r="Z8" s="99">
        <f>C8*399096.75/117766.81</f>
        <v>14497.59823247314</v>
      </c>
      <c r="AA8" s="106">
        <f>C8*384546.83/113473.37</f>
        <v>14497.598324082559</v>
      </c>
      <c r="AB8" s="106">
        <f>C8*384567.84/113479.57</f>
        <v>14497.598285929354</v>
      </c>
      <c r="AC8" s="212">
        <f>SUM(Q8:AB8)</f>
        <v>172055.87994819664</v>
      </c>
      <c r="AD8" s="287">
        <f>C8*16874.97/117788.23</f>
        <v>612.8890947762778</v>
      </c>
      <c r="AE8" s="106">
        <f>C8*34963.28/117783.21</f>
        <v>1269.9001142862382</v>
      </c>
      <c r="AF8" s="99">
        <f>C8*46264.68/117783.31</f>
        <v>1680.376456053069</v>
      </c>
      <c r="AG8" s="99">
        <f>C8*68733.89/117782.81</f>
        <v>2496.489779960251</v>
      </c>
      <c r="AH8" s="99">
        <f>C8*36198.99/117779.21</f>
        <v>1314.8269479817363</v>
      </c>
      <c r="AI8" s="99">
        <f>C8*41351.61/117778.91</f>
        <v>1501.9852669718205</v>
      </c>
      <c r="AJ8" s="99">
        <f>C8*39712.38/117779.01</f>
        <v>1442.4434510020078</v>
      </c>
      <c r="AK8" s="102"/>
      <c r="AL8" s="99">
        <f>C8*36087.03/117767.21</f>
        <v>1310.8938756382188</v>
      </c>
      <c r="AM8" s="99">
        <f>C8*83426.77/117766.81</f>
        <v>3030.562873019996</v>
      </c>
      <c r="AN8" s="99">
        <f>C8*73586.44/113473.37</f>
        <v>2774.2437747288195</v>
      </c>
      <c r="AO8" s="102">
        <f>C8*46198.99/113479.57</f>
        <v>1741.6287285896483</v>
      </c>
      <c r="AP8" s="102">
        <f>SUM(AD8:AO8)</f>
        <v>19176.240363008084</v>
      </c>
      <c r="AQ8" s="117"/>
      <c r="AR8" s="117"/>
      <c r="AS8" s="118">
        <f>P8+AC8+AP8+AQ8+AR8</f>
        <v>349196.54031120474</v>
      </c>
    </row>
    <row r="9" spans="1:45" s="72" customFormat="1" ht="12" customHeight="1" thickBot="1">
      <c r="A9" s="73">
        <v>2</v>
      </c>
      <c r="B9" s="71" t="s">
        <v>41</v>
      </c>
      <c r="C9" s="94">
        <f aca="true" t="shared" si="0" ref="C9:AS9">SUM(C7:C8)</f>
        <v>9046.6</v>
      </c>
      <c r="D9" s="94">
        <f t="shared" si="0"/>
        <v>0</v>
      </c>
      <c r="E9" s="94">
        <f t="shared" si="0"/>
        <v>0</v>
      </c>
      <c r="F9" s="94">
        <f t="shared" si="0"/>
        <v>23072.26</v>
      </c>
      <c r="G9" s="94">
        <f t="shared" si="0"/>
        <v>0</v>
      </c>
      <c r="H9" s="94">
        <f t="shared" si="0"/>
        <v>0</v>
      </c>
      <c r="I9" s="94">
        <f t="shared" si="0"/>
        <v>93295.59</v>
      </c>
      <c r="J9" s="94">
        <f t="shared" si="0"/>
        <v>7332.09</v>
      </c>
      <c r="K9" s="94">
        <f t="shared" si="0"/>
        <v>1209.1</v>
      </c>
      <c r="L9" s="94">
        <f t="shared" si="0"/>
        <v>70810.26</v>
      </c>
      <c r="M9" s="94">
        <f t="shared" si="0"/>
        <v>35000</v>
      </c>
      <c r="N9" s="94">
        <f t="shared" si="0"/>
        <v>13981.29</v>
      </c>
      <c r="O9" s="94">
        <f t="shared" si="0"/>
        <v>7348.62</v>
      </c>
      <c r="P9" s="94">
        <f t="shared" si="0"/>
        <v>252049.21</v>
      </c>
      <c r="Q9" s="94">
        <f t="shared" si="0"/>
        <v>30344.071844393962</v>
      </c>
      <c r="R9" s="94">
        <f t="shared" si="0"/>
        <v>30271.66784109552</v>
      </c>
      <c r="S9" s="94">
        <f t="shared" si="0"/>
        <v>28840.78182946294</v>
      </c>
      <c r="T9" s="94">
        <f t="shared" si="0"/>
        <v>30231.861483165496</v>
      </c>
      <c r="U9" s="94">
        <f t="shared" si="0"/>
        <v>30433.501123058988</v>
      </c>
      <c r="V9" s="94">
        <f t="shared" si="0"/>
        <v>30639.133766800867</v>
      </c>
      <c r="W9" s="94">
        <f t="shared" si="0"/>
        <v>30657.777947530718</v>
      </c>
      <c r="X9" s="94">
        <f t="shared" si="0"/>
        <v>30657.777857651152</v>
      </c>
      <c r="Y9" s="94">
        <f t="shared" si="0"/>
        <v>29793.17986395364</v>
      </c>
      <c r="Z9" s="94">
        <f t="shared" si="0"/>
        <v>30657.777505818493</v>
      </c>
      <c r="AA9" s="94">
        <f t="shared" si="0"/>
        <v>30657.777699543076</v>
      </c>
      <c r="AB9" s="94">
        <f t="shared" si="0"/>
        <v>30657.777618861266</v>
      </c>
      <c r="AC9" s="94">
        <f t="shared" si="0"/>
        <v>363843.0863813361</v>
      </c>
      <c r="AD9" s="94">
        <f t="shared" si="0"/>
        <v>1296.0641619455528</v>
      </c>
      <c r="AE9" s="94">
        <f t="shared" si="0"/>
        <v>2685.432064960702</v>
      </c>
      <c r="AF9" s="94">
        <f t="shared" si="0"/>
        <v>3553.4580755796387</v>
      </c>
      <c r="AG9" s="94">
        <f t="shared" si="0"/>
        <v>5279.276400979057</v>
      </c>
      <c r="AH9" s="94">
        <f t="shared" si="0"/>
        <v>2780.4379307179934</v>
      </c>
      <c r="AI9" s="94">
        <f t="shared" si="0"/>
        <v>3176.2178392209607</v>
      </c>
      <c r="AJ9" s="94">
        <f t="shared" si="0"/>
        <v>3050.3059663007866</v>
      </c>
      <c r="AK9" s="94">
        <f t="shared" si="0"/>
        <v>0</v>
      </c>
      <c r="AL9" s="94">
        <f t="shared" si="0"/>
        <v>2772.1207422507505</v>
      </c>
      <c r="AM9" s="94">
        <f t="shared" si="0"/>
        <v>6408.669959575198</v>
      </c>
      <c r="AN9" s="94">
        <f t="shared" si="0"/>
        <v>5866.6371511130765</v>
      </c>
      <c r="AO9" s="94">
        <f t="shared" si="0"/>
        <v>3682.987016376604</v>
      </c>
      <c r="AP9" s="94">
        <f t="shared" si="0"/>
        <v>40551.60730902032</v>
      </c>
      <c r="AQ9" s="94">
        <f t="shared" si="0"/>
        <v>0</v>
      </c>
      <c r="AR9" s="94">
        <f t="shared" si="0"/>
        <v>0</v>
      </c>
      <c r="AS9" s="94">
        <f t="shared" si="0"/>
        <v>656443.9036903565</v>
      </c>
    </row>
    <row r="10" spans="4:16" ht="12.75"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12.75">
      <c r="A11" s="46" t="s">
        <v>66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2.75">
      <c r="A12" s="46" t="s">
        <v>67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ht="12.75">
      <c r="A13" s="46" t="s">
        <v>68</v>
      </c>
    </row>
    <row r="14" ht="12.75">
      <c r="A14" s="46" t="s">
        <v>69</v>
      </c>
    </row>
    <row r="15" ht="12.75">
      <c r="A15" s="46" t="s">
        <v>70</v>
      </c>
    </row>
    <row r="16" ht="12.75">
      <c r="A16" s="46"/>
    </row>
    <row r="17" ht="12.75">
      <c r="A17" s="46" t="s">
        <v>71</v>
      </c>
    </row>
    <row r="18" ht="12.75">
      <c r="A18" s="46" t="s">
        <v>72</v>
      </c>
    </row>
    <row r="19" spans="1:27" ht="12.75">
      <c r="A19" s="46" t="s">
        <v>73</v>
      </c>
      <c r="AA19" s="26"/>
    </row>
    <row r="20" ht="12.75">
      <c r="A20" s="46" t="s">
        <v>74</v>
      </c>
    </row>
    <row r="21" ht="12.75">
      <c r="A21" s="46"/>
    </row>
    <row r="22" ht="12.75">
      <c r="A22" s="46" t="s">
        <v>75</v>
      </c>
    </row>
  </sheetData>
  <sheetProtection/>
  <mergeCells count="6">
    <mergeCell ref="A2:AS2"/>
    <mergeCell ref="A3:I3"/>
    <mergeCell ref="D4:P4"/>
    <mergeCell ref="Q4:AC4"/>
    <mergeCell ref="AD4:AP4"/>
    <mergeCell ref="A6:AS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S2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D15" sqref="D15:O16"/>
    </sheetView>
  </sheetViews>
  <sheetFormatPr defaultColWidth="9.140625" defaultRowHeight="12.75"/>
  <cols>
    <col min="1" max="1" width="6.28125" style="27" customWidth="1"/>
    <col min="2" max="2" width="19.7109375" style="26" customWidth="1"/>
    <col min="3" max="3" width="9.28125" style="26" customWidth="1"/>
    <col min="4" max="4" width="9.8515625" style="0" customWidth="1"/>
    <col min="5" max="5" width="11.140625" style="0" customWidth="1"/>
    <col min="6" max="6" width="9.8515625" style="0" customWidth="1"/>
    <col min="7" max="7" width="10.140625" style="0" customWidth="1"/>
    <col min="8" max="8" width="9.57421875" style="0" customWidth="1"/>
    <col min="9" max="9" width="10.421875" style="0" customWidth="1"/>
    <col min="10" max="10" width="10.57421875" style="0" customWidth="1"/>
    <col min="11" max="11" width="11.140625" style="0" customWidth="1"/>
    <col min="12" max="12" width="10.57421875" style="0" customWidth="1"/>
    <col min="13" max="13" width="10.421875" style="0" customWidth="1"/>
    <col min="14" max="14" width="10.8515625" style="0" customWidth="1"/>
    <col min="15" max="15" width="9.57421875" style="0" customWidth="1"/>
    <col min="16" max="16" width="11.57421875" style="0" customWidth="1"/>
    <col min="17" max="17" width="11.421875" style="0" customWidth="1"/>
    <col min="18" max="28" width="9.57421875" style="0" customWidth="1"/>
    <col min="29" max="29" width="11.140625" style="0" bestFit="1" customWidth="1"/>
    <col min="30" max="41" width="9.28125" style="0" customWidth="1"/>
    <col min="42" max="42" width="10.7109375" style="0" customWidth="1"/>
    <col min="43" max="43" width="14.140625" style="0" customWidth="1"/>
    <col min="44" max="44" width="14.8515625" style="0" customWidth="1"/>
    <col min="45" max="45" width="12.7109375" style="0" customWidth="1"/>
  </cols>
  <sheetData>
    <row r="1" spans="1:4" ht="15" customHeight="1">
      <c r="A1" s="1"/>
      <c r="B1" s="2"/>
      <c r="C1" s="2"/>
      <c r="D1" s="3"/>
    </row>
    <row r="2" spans="1:45" ht="12.75">
      <c r="A2" s="363" t="s">
        <v>135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</row>
    <row r="3" spans="1:9" ht="13.5" thickBot="1">
      <c r="A3" s="367"/>
      <c r="B3" s="367"/>
      <c r="C3" s="367"/>
      <c r="D3" s="367"/>
      <c r="E3" s="367"/>
      <c r="F3" s="367"/>
      <c r="G3" s="367"/>
      <c r="H3" s="367"/>
      <c r="I3" s="367"/>
    </row>
    <row r="4" spans="1:45" ht="30.75" thickBot="1">
      <c r="A4" s="58" t="s">
        <v>0</v>
      </c>
      <c r="B4" s="59" t="s">
        <v>1</v>
      </c>
      <c r="C4" s="60" t="s">
        <v>2</v>
      </c>
      <c r="D4" s="375" t="s">
        <v>38</v>
      </c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64" t="s">
        <v>39</v>
      </c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6"/>
      <c r="AD4" s="364" t="s">
        <v>40</v>
      </c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6"/>
      <c r="AQ4" s="54" t="s">
        <v>91</v>
      </c>
      <c r="AR4" s="54" t="s">
        <v>89</v>
      </c>
      <c r="AS4" s="28" t="s">
        <v>41</v>
      </c>
    </row>
    <row r="5" spans="1:45" s="51" customFormat="1" ht="12" customHeight="1">
      <c r="A5" s="373" t="s">
        <v>33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4"/>
      <c r="Q5" s="304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305"/>
      <c r="AD5" s="304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305"/>
      <c r="AQ5" s="301"/>
      <c r="AR5" s="30"/>
      <c r="AS5" s="50"/>
    </row>
    <row r="6" spans="1:45" ht="12" customHeight="1">
      <c r="A6" s="23"/>
      <c r="B6" s="12"/>
      <c r="C6" s="23"/>
      <c r="D6" s="32" t="s">
        <v>42</v>
      </c>
      <c r="E6" s="32" t="s">
        <v>43</v>
      </c>
      <c r="F6" s="32" t="s">
        <v>44</v>
      </c>
      <c r="G6" s="32" t="s">
        <v>45</v>
      </c>
      <c r="H6" s="32" t="s">
        <v>46</v>
      </c>
      <c r="I6" s="32" t="s">
        <v>47</v>
      </c>
      <c r="J6" s="32" t="s">
        <v>48</v>
      </c>
      <c r="K6" s="32" t="s">
        <v>49</v>
      </c>
      <c r="L6" s="32" t="s">
        <v>50</v>
      </c>
      <c r="M6" s="32" t="s">
        <v>51</v>
      </c>
      <c r="N6" s="32" t="s">
        <v>52</v>
      </c>
      <c r="O6" s="32" t="s">
        <v>53</v>
      </c>
      <c r="P6" s="55" t="s">
        <v>54</v>
      </c>
      <c r="Q6" s="56" t="s">
        <v>42</v>
      </c>
      <c r="R6" s="32" t="s">
        <v>43</v>
      </c>
      <c r="S6" s="32" t="s">
        <v>44</v>
      </c>
      <c r="T6" s="32" t="s">
        <v>45</v>
      </c>
      <c r="U6" s="32" t="s">
        <v>46</v>
      </c>
      <c r="V6" s="32" t="s">
        <v>47</v>
      </c>
      <c r="W6" s="32" t="s">
        <v>48</v>
      </c>
      <c r="X6" s="32" t="s">
        <v>49</v>
      </c>
      <c r="Y6" s="32" t="s">
        <v>50</v>
      </c>
      <c r="Z6" s="32" t="s">
        <v>51</v>
      </c>
      <c r="AA6" s="32" t="s">
        <v>52</v>
      </c>
      <c r="AB6" s="32" t="s">
        <v>53</v>
      </c>
      <c r="AC6" s="57" t="s">
        <v>54</v>
      </c>
      <c r="AD6" s="56" t="s">
        <v>42</v>
      </c>
      <c r="AE6" s="32" t="s">
        <v>43</v>
      </c>
      <c r="AF6" s="32" t="s">
        <v>44</v>
      </c>
      <c r="AG6" s="32" t="s">
        <v>45</v>
      </c>
      <c r="AH6" s="32" t="s">
        <v>46</v>
      </c>
      <c r="AI6" s="32" t="s">
        <v>47</v>
      </c>
      <c r="AJ6" s="32" t="s">
        <v>48</v>
      </c>
      <c r="AK6" s="32" t="s">
        <v>49</v>
      </c>
      <c r="AL6" s="32" t="s">
        <v>50</v>
      </c>
      <c r="AM6" s="32" t="s">
        <v>51</v>
      </c>
      <c r="AN6" s="32" t="s">
        <v>52</v>
      </c>
      <c r="AO6" s="32" t="s">
        <v>53</v>
      </c>
      <c r="AP6" s="57" t="s">
        <v>54</v>
      </c>
      <c r="AQ6" s="302" t="s">
        <v>92</v>
      </c>
      <c r="AR6" s="30" t="s">
        <v>54</v>
      </c>
      <c r="AS6" s="32"/>
    </row>
    <row r="7" spans="1:45" ht="12" customHeight="1">
      <c r="A7" s="86">
        <v>1</v>
      </c>
      <c r="B7" s="9" t="s">
        <v>34</v>
      </c>
      <c r="C7" s="95">
        <v>6611.3</v>
      </c>
      <c r="D7" s="104"/>
      <c r="E7" s="104"/>
      <c r="F7" s="104"/>
      <c r="G7" s="104"/>
      <c r="H7" s="104"/>
      <c r="I7" s="104"/>
      <c r="J7" s="104">
        <f>89577+20750+11930.2</f>
        <v>122257.2</v>
      </c>
      <c r="K7" s="99">
        <f>604.55+42180.39+4599.55</f>
        <v>47384.490000000005</v>
      </c>
      <c r="L7" s="104">
        <f>51743.25</f>
        <v>51743.25</v>
      </c>
      <c r="M7" s="104">
        <f>8357.47</f>
        <v>8357.47</v>
      </c>
      <c r="N7" s="104"/>
      <c r="O7" s="104">
        <f>21576</f>
        <v>21576</v>
      </c>
      <c r="P7" s="307">
        <f aca="true" t="shared" si="0" ref="P7:P13">SUM(D7:O7)</f>
        <v>251318.41</v>
      </c>
      <c r="Q7" s="287">
        <f aca="true" t="shared" si="1" ref="Q7:Q13">C7*395084.84/117788.23</f>
        <v>22175.597703539654</v>
      </c>
      <c r="R7" s="99">
        <f aca="true" t="shared" si="2" ref="R7:R13">C7*394125.33/117783.21</f>
        <v>22122.6845000149</v>
      </c>
      <c r="S7" s="99">
        <f aca="true" t="shared" si="3" ref="S7:S13">C7*375496.07/117783.31</f>
        <v>21076.98592942413</v>
      </c>
      <c r="T7" s="99">
        <f aca="true" t="shared" si="4" ref="T7:T13">C7*393605.73/117782.81</f>
        <v>22093.593816865126</v>
      </c>
      <c r="U7" s="99">
        <f aca="true" t="shared" si="5" ref="U7:U13">C7*396218.88/117779.21</f>
        <v>22240.95306246323</v>
      </c>
      <c r="V7" s="99">
        <f aca="true" t="shared" si="6" ref="V7:V13">C7*398895.03/117778.91</f>
        <v>22391.23041501233</v>
      </c>
      <c r="W7" s="99">
        <f aca="true" t="shared" si="7" ref="W7:W13">C7*399138.1/117779.01</f>
        <v>22404.855674453367</v>
      </c>
      <c r="X7" s="99">
        <f aca="true" t="shared" si="8" ref="X7:X13">C7*399125.56/117775.31</f>
        <v>22404.855608768936</v>
      </c>
      <c r="Y7" s="99">
        <f aca="true" t="shared" si="9" ref="Y7:Y13">C7*387842.91/117767.21</f>
        <v>21773.003121013055</v>
      </c>
      <c r="Z7" s="99">
        <f aca="true" t="shared" si="10" ref="Z7:Z13">C7*399096.75/117766.81</f>
        <v>22404.85535164789</v>
      </c>
      <c r="AA7" s="106">
        <f aca="true" t="shared" si="11" ref="AA7:AA13">C7*384546.83/113473.37</f>
        <v>22404.855493222774</v>
      </c>
      <c r="AB7" s="106">
        <f aca="true" t="shared" si="12" ref="AB7:AB13">C7*384567.84/113479.57</f>
        <v>22404.855434260106</v>
      </c>
      <c r="AC7" s="288">
        <f aca="true" t="shared" si="13" ref="AC7:AC13">SUM(Q7:AB7)</f>
        <v>265898.32611068554</v>
      </c>
      <c r="AD7" s="287">
        <f aca="true" t="shared" si="14" ref="AD7:AD13">C7*16874.97/117788.23</f>
        <v>947.1700963755039</v>
      </c>
      <c r="AE7" s="106">
        <f aca="true" t="shared" si="15" ref="AE7:AE13">C7*34963.28/117783.21</f>
        <v>1962.5270279524561</v>
      </c>
      <c r="AF7" s="99">
        <f aca="true" t="shared" si="16" ref="AF7:AF13">C7*46264.68/117783.31</f>
        <v>2596.8847274202094</v>
      </c>
      <c r="AG7" s="99">
        <f aca="true" t="shared" si="17" ref="AG7:AG13">C7*68733.89/117782.81</f>
        <v>3858.121290848809</v>
      </c>
      <c r="AH7" s="99">
        <f aca="true" t="shared" si="18" ref="AH7:AH13">C7*36198.99/117779.21</f>
        <v>2031.9577842897738</v>
      </c>
      <c r="AI7" s="99">
        <f aca="true" t="shared" si="19" ref="AI7:AI13">C7*41351.61/117778.91</f>
        <v>2321.1956978800367</v>
      </c>
      <c r="AJ7" s="99">
        <f aca="true" t="shared" si="20" ref="AJ7:AJ13">C7*39712.38/117779.01</f>
        <v>2229.178678730616</v>
      </c>
      <c r="AK7" s="102"/>
      <c r="AL7" s="99">
        <f aca="true" t="shared" si="21" ref="AL7:AL13">C7*36087.03/117767.21</f>
        <v>2025.8795418436082</v>
      </c>
      <c r="AM7" s="99">
        <f aca="true" t="shared" si="22" ref="AM7:AM13">C7*83426.77/117766.81</f>
        <v>4683.487686394835</v>
      </c>
      <c r="AN7" s="99">
        <f aca="true" t="shared" si="23" ref="AN7:AN13">C7*73586.44/113473.37</f>
        <v>4287.367430543396</v>
      </c>
      <c r="AO7" s="102">
        <f aca="true" t="shared" si="24" ref="AO7:AO13">C7*46198.99/113479.57</f>
        <v>2691.5451176542174</v>
      </c>
      <c r="AP7" s="288">
        <f aca="true" t="shared" si="25" ref="AP7:AP13">SUM(AD7:AO7)</f>
        <v>29635.31507993346</v>
      </c>
      <c r="AQ7" s="283"/>
      <c r="AR7" s="99"/>
      <c r="AS7" s="115">
        <f aca="true" t="shared" si="26" ref="AS7:AS13">P7+AC7+AP7+AQ7+AR7</f>
        <v>546852.051190619</v>
      </c>
    </row>
    <row r="8" spans="1:45" ht="12" customHeight="1">
      <c r="A8" s="24">
        <v>2</v>
      </c>
      <c r="B8" s="47" t="s">
        <v>99</v>
      </c>
      <c r="C8" s="96">
        <v>2632.4</v>
      </c>
      <c r="D8" s="104"/>
      <c r="E8" s="104"/>
      <c r="F8" s="104"/>
      <c r="G8" s="104"/>
      <c r="H8" s="104"/>
      <c r="I8" s="104"/>
      <c r="J8" s="104">
        <f>19262.29</f>
        <v>19262.29</v>
      </c>
      <c r="K8" s="99">
        <f>604.55+29786.54+4599.55+30440+32500</f>
        <v>97930.64</v>
      </c>
      <c r="L8" s="104">
        <f>21610.43+72386.06</f>
        <v>93996.48999999999</v>
      </c>
      <c r="M8" s="104"/>
      <c r="N8" s="104">
        <f>9714.99</f>
        <v>9714.99</v>
      </c>
      <c r="O8" s="104">
        <f>15032+23178</f>
        <v>38210</v>
      </c>
      <c r="P8" s="307">
        <f t="shared" si="0"/>
        <v>259114.40999999997</v>
      </c>
      <c r="Q8" s="287">
        <f t="shared" si="1"/>
        <v>8829.58622280002</v>
      </c>
      <c r="R8" s="99">
        <f t="shared" si="2"/>
        <v>8808.51794319411</v>
      </c>
      <c r="S8" s="99">
        <f t="shared" si="3"/>
        <v>8392.155515649883</v>
      </c>
      <c r="T8" s="99">
        <f t="shared" si="4"/>
        <v>8796.934999699872</v>
      </c>
      <c r="U8" s="99">
        <f t="shared" si="5"/>
        <v>8855.608555295965</v>
      </c>
      <c r="V8" s="99">
        <f t="shared" si="6"/>
        <v>8915.444004126037</v>
      </c>
      <c r="W8" s="99">
        <f t="shared" si="7"/>
        <v>8920.869129737124</v>
      </c>
      <c r="X8" s="99">
        <f t="shared" si="8"/>
        <v>8920.869103583766</v>
      </c>
      <c r="Y8" s="99">
        <f t="shared" si="9"/>
        <v>8669.286436215987</v>
      </c>
      <c r="Z8" s="99">
        <f t="shared" si="10"/>
        <v>8920.869001206707</v>
      </c>
      <c r="AA8" s="106">
        <f t="shared" si="11"/>
        <v>8920.869057577122</v>
      </c>
      <c r="AB8" s="106">
        <f t="shared" si="12"/>
        <v>8920.869034100147</v>
      </c>
      <c r="AC8" s="288">
        <f t="shared" si="13"/>
        <v>105871.87900318674</v>
      </c>
      <c r="AD8" s="287">
        <f t="shared" si="14"/>
        <v>377.13166271366845</v>
      </c>
      <c r="AE8" s="106">
        <f t="shared" si="15"/>
        <v>781.4130577015178</v>
      </c>
      <c r="AF8" s="99">
        <f t="shared" si="16"/>
        <v>1033.9932171374705</v>
      </c>
      <c r="AG8" s="99">
        <f t="shared" si="17"/>
        <v>1536.175712194335</v>
      </c>
      <c r="AH8" s="99">
        <f t="shared" si="18"/>
        <v>809.0580780428056</v>
      </c>
      <c r="AI8" s="99">
        <f t="shared" si="19"/>
        <v>924.223005324128</v>
      </c>
      <c r="AJ8" s="99">
        <f t="shared" si="20"/>
        <v>887.5848855581313</v>
      </c>
      <c r="AK8" s="102"/>
      <c r="AL8" s="99">
        <f t="shared" si="21"/>
        <v>806.6379238499409</v>
      </c>
      <c r="AM8" s="99">
        <f t="shared" si="22"/>
        <v>1864.8091881575126</v>
      </c>
      <c r="AN8" s="99">
        <f t="shared" si="23"/>
        <v>1707.0872633464576</v>
      </c>
      <c r="AO8" s="102">
        <f t="shared" si="24"/>
        <v>1071.6838394435226</v>
      </c>
      <c r="AP8" s="288">
        <f t="shared" si="25"/>
        <v>11799.797833469489</v>
      </c>
      <c r="AQ8" s="283"/>
      <c r="AR8" s="99"/>
      <c r="AS8" s="115">
        <f t="shared" si="26"/>
        <v>376786.0868366562</v>
      </c>
    </row>
    <row r="9" spans="1:45" ht="12" customHeight="1">
      <c r="A9" s="8">
        <v>3</v>
      </c>
      <c r="B9" s="9" t="s">
        <v>35</v>
      </c>
      <c r="C9" s="97">
        <v>964.1</v>
      </c>
      <c r="D9" s="99">
        <v>4247.68</v>
      </c>
      <c r="E9" s="99"/>
      <c r="F9" s="99">
        <v>8842.4</v>
      </c>
      <c r="G9" s="99"/>
      <c r="H9" s="99"/>
      <c r="I9" s="99"/>
      <c r="J9" s="99">
        <f>75588</f>
        <v>75588</v>
      </c>
      <c r="K9" s="99">
        <f>604.55+29786.54+13862.46+27150+27150+2714</f>
        <v>101267.55</v>
      </c>
      <c r="L9" s="99">
        <f>7554.34</f>
        <v>7554.34</v>
      </c>
      <c r="M9" s="99"/>
      <c r="N9" s="99"/>
      <c r="O9" s="99">
        <f>18320</f>
        <v>18320</v>
      </c>
      <c r="P9" s="212">
        <f>SUM(D9:O9)</f>
        <v>215819.97</v>
      </c>
      <c r="Q9" s="287">
        <f t="shared" si="1"/>
        <v>3233.7806098622927</v>
      </c>
      <c r="R9" s="99">
        <f t="shared" si="2"/>
        <v>3226.0644845135394</v>
      </c>
      <c r="S9" s="99">
        <f t="shared" si="3"/>
        <v>3073.5743552036365</v>
      </c>
      <c r="T9" s="99">
        <f t="shared" si="4"/>
        <v>3221.8223040611783</v>
      </c>
      <c r="U9" s="99">
        <f t="shared" si="5"/>
        <v>3243.3111260297974</v>
      </c>
      <c r="V9" s="99">
        <f t="shared" si="6"/>
        <v>3265.225484112563</v>
      </c>
      <c r="W9" s="99">
        <f t="shared" si="7"/>
        <v>3267.212402362696</v>
      </c>
      <c r="X9" s="99">
        <f t="shared" si="8"/>
        <v>3267.2123927841926</v>
      </c>
      <c r="Y9" s="99">
        <f t="shared" si="9"/>
        <v>3175.0718177920658</v>
      </c>
      <c r="Z9" s="99">
        <f t="shared" si="10"/>
        <v>3267.2123552892367</v>
      </c>
      <c r="AA9" s="106">
        <f t="shared" si="11"/>
        <v>3267.2123759345477</v>
      </c>
      <c r="AB9" s="106">
        <f t="shared" si="12"/>
        <v>3267.2123673362526</v>
      </c>
      <c r="AC9" s="288">
        <f t="shared" si="13"/>
        <v>38774.912075281994</v>
      </c>
      <c r="AD9" s="287">
        <f t="shared" si="14"/>
        <v>138.1221075908858</v>
      </c>
      <c r="AE9" s="106">
        <f t="shared" si="15"/>
        <v>286.1876344514638</v>
      </c>
      <c r="AF9" s="99">
        <f t="shared" si="16"/>
        <v>378.6935346612351</v>
      </c>
      <c r="AG9" s="99">
        <f t="shared" si="17"/>
        <v>562.6147257736507</v>
      </c>
      <c r="AH9" s="99">
        <f t="shared" si="18"/>
        <v>296.3124498712463</v>
      </c>
      <c r="AI9" s="99">
        <f t="shared" si="19"/>
        <v>338.49088262915666</v>
      </c>
      <c r="AJ9" s="99">
        <f t="shared" si="20"/>
        <v>325.0724009142206</v>
      </c>
      <c r="AK9" s="102"/>
      <c r="AL9" s="99">
        <f t="shared" si="21"/>
        <v>295.42608356774355</v>
      </c>
      <c r="AM9" s="99">
        <f t="shared" si="22"/>
        <v>682.9746764559557</v>
      </c>
      <c r="AN9" s="99">
        <f t="shared" si="23"/>
        <v>625.2100101019297</v>
      </c>
      <c r="AO9" s="102">
        <f t="shared" si="24"/>
        <v>392.49748883433375</v>
      </c>
      <c r="AP9" s="288">
        <f t="shared" si="25"/>
        <v>4321.601994851822</v>
      </c>
      <c r="AQ9" s="283"/>
      <c r="AR9" s="99"/>
      <c r="AS9" s="115">
        <f t="shared" si="26"/>
        <v>258916.48407013383</v>
      </c>
    </row>
    <row r="10" spans="1:45" ht="12" customHeight="1">
      <c r="A10" s="25">
        <v>4</v>
      </c>
      <c r="B10" s="9" t="s">
        <v>36</v>
      </c>
      <c r="C10" s="97">
        <v>1349.5</v>
      </c>
      <c r="D10" s="99"/>
      <c r="E10" s="99"/>
      <c r="F10" s="99"/>
      <c r="G10" s="99"/>
      <c r="H10" s="99"/>
      <c r="I10" s="99"/>
      <c r="J10" s="99"/>
      <c r="K10" s="99">
        <f>604.55+29786.54+18462.03</f>
        <v>48853.119999999995</v>
      </c>
      <c r="L10" s="99">
        <f>10564.96</f>
        <v>10564.96</v>
      </c>
      <c r="M10" s="99"/>
      <c r="N10" s="99"/>
      <c r="O10" s="99">
        <f>2918</f>
        <v>2918</v>
      </c>
      <c r="P10" s="212">
        <f t="shared" si="0"/>
        <v>62336.079999999994</v>
      </c>
      <c r="Q10" s="287">
        <f t="shared" si="1"/>
        <v>4526.487846705906</v>
      </c>
      <c r="R10" s="99">
        <f t="shared" si="2"/>
        <v>4515.687192045454</v>
      </c>
      <c r="S10" s="99">
        <f t="shared" si="3"/>
        <v>4302.238971421333</v>
      </c>
      <c r="T10" s="99">
        <f t="shared" si="4"/>
        <v>4509.749195447112</v>
      </c>
      <c r="U10" s="99">
        <f t="shared" si="5"/>
        <v>4539.828196843908</v>
      </c>
      <c r="V10" s="99">
        <f t="shared" si="6"/>
        <v>4570.5028428688975</v>
      </c>
      <c r="W10" s="99">
        <f t="shared" si="7"/>
        <v>4573.284033801948</v>
      </c>
      <c r="X10" s="99">
        <f t="shared" si="8"/>
        <v>4573.284020394428</v>
      </c>
      <c r="Y10" s="99">
        <f t="shared" si="9"/>
        <v>4444.310152588313</v>
      </c>
      <c r="Z10" s="99">
        <f t="shared" si="10"/>
        <v>4573.283967910823</v>
      </c>
      <c r="AA10" s="106">
        <f t="shared" si="11"/>
        <v>4573.283996809119</v>
      </c>
      <c r="AB10" s="106">
        <f t="shared" si="12"/>
        <v>4573.283984773647</v>
      </c>
      <c r="AC10" s="288">
        <f t="shared" si="13"/>
        <v>54275.22440161089</v>
      </c>
      <c r="AD10" s="287">
        <f t="shared" si="14"/>
        <v>193.33656694730877</v>
      </c>
      <c r="AE10" s="106">
        <f t="shared" si="15"/>
        <v>400.59144558889165</v>
      </c>
      <c r="AF10" s="99">
        <f t="shared" si="16"/>
        <v>530.0766777568061</v>
      </c>
      <c r="AG10" s="99">
        <f t="shared" si="17"/>
        <v>787.5205605554834</v>
      </c>
      <c r="AH10" s="99">
        <f t="shared" si="18"/>
        <v>414.76366673710913</v>
      </c>
      <c r="AI10" s="99">
        <f t="shared" si="19"/>
        <v>473.8029728327423</v>
      </c>
      <c r="AJ10" s="99">
        <f t="shared" si="20"/>
        <v>455.020438786164</v>
      </c>
      <c r="AK10" s="102"/>
      <c r="AL10" s="99">
        <f t="shared" si="21"/>
        <v>413.52297456142503</v>
      </c>
      <c r="AM10" s="99">
        <f t="shared" si="22"/>
        <v>955.9945294858544</v>
      </c>
      <c r="AN10" s="99">
        <f t="shared" si="23"/>
        <v>875.1383763432777</v>
      </c>
      <c r="AO10" s="102">
        <f t="shared" si="24"/>
        <v>549.3987772865195</v>
      </c>
      <c r="AP10" s="288">
        <f t="shared" si="25"/>
        <v>6049.1669868815825</v>
      </c>
      <c r="AQ10" s="283"/>
      <c r="AR10" s="99"/>
      <c r="AS10" s="115">
        <f t="shared" si="26"/>
        <v>122660.47138849247</v>
      </c>
    </row>
    <row r="11" spans="1:45" ht="12" customHeight="1">
      <c r="A11" s="8">
        <v>5</v>
      </c>
      <c r="B11" s="9" t="s">
        <v>78</v>
      </c>
      <c r="C11" s="89">
        <v>596.72</v>
      </c>
      <c r="D11" s="99"/>
      <c r="E11" s="99"/>
      <c r="F11" s="99"/>
      <c r="G11" s="99"/>
      <c r="H11" s="99"/>
      <c r="I11" s="99"/>
      <c r="J11" s="99"/>
      <c r="K11" s="99">
        <f>604.55+29786.54+2299.79</f>
        <v>32690.88</v>
      </c>
      <c r="L11" s="99">
        <f>4322.24</f>
        <v>4322.24</v>
      </c>
      <c r="M11" s="99"/>
      <c r="N11" s="99"/>
      <c r="O11" s="99"/>
      <c r="P11" s="212">
        <f t="shared" si="0"/>
        <v>37013.12</v>
      </c>
      <c r="Q11" s="287">
        <f t="shared" si="1"/>
        <v>2001.51598954157</v>
      </c>
      <c r="R11" s="99">
        <f t="shared" si="2"/>
        <v>1996.7401713503987</v>
      </c>
      <c r="S11" s="99">
        <f t="shared" si="3"/>
        <v>1902.3579392564195</v>
      </c>
      <c r="T11" s="99">
        <f t="shared" si="4"/>
        <v>1994.114516418822</v>
      </c>
      <c r="U11" s="99">
        <f t="shared" si="5"/>
        <v>2007.4148066844734</v>
      </c>
      <c r="V11" s="99">
        <f t="shared" si="6"/>
        <v>2020.9784782487802</v>
      </c>
      <c r="W11" s="99">
        <f t="shared" si="7"/>
        <v>2022.2082613192283</v>
      </c>
      <c r="X11" s="99">
        <f t="shared" si="8"/>
        <v>2022.2082553907098</v>
      </c>
      <c r="Y11" s="99">
        <f t="shared" si="9"/>
        <v>1965.1787730659491</v>
      </c>
      <c r="Z11" s="99">
        <f t="shared" si="10"/>
        <v>2022.2082321835837</v>
      </c>
      <c r="AA11" s="106">
        <f t="shared" si="11"/>
        <v>2022.2082449617917</v>
      </c>
      <c r="AB11" s="106">
        <f t="shared" si="12"/>
        <v>2022.2082396399633</v>
      </c>
      <c r="AC11" s="288">
        <f>SUM(Q11:AB11)</f>
        <v>23999.34190806169</v>
      </c>
      <c r="AD11" s="287">
        <f t="shared" si="14"/>
        <v>85.48928953597486</v>
      </c>
      <c r="AE11" s="106">
        <f t="shared" si="15"/>
        <v>177.1329584377943</v>
      </c>
      <c r="AF11" s="99">
        <f t="shared" si="16"/>
        <v>234.3885551323019</v>
      </c>
      <c r="AG11" s="99">
        <f t="shared" si="17"/>
        <v>348.22472685784965</v>
      </c>
      <c r="AH11" s="99">
        <f t="shared" si="18"/>
        <v>183.39961112661564</v>
      </c>
      <c r="AI11" s="99">
        <f t="shared" si="19"/>
        <v>209.50552793534936</v>
      </c>
      <c r="AJ11" s="99">
        <f t="shared" si="20"/>
        <v>201.2002936142866</v>
      </c>
      <c r="AK11" s="102"/>
      <c r="AL11" s="99">
        <f t="shared" si="21"/>
        <v>182.85100361637166</v>
      </c>
      <c r="AM11" s="99">
        <f t="shared" si="22"/>
        <v>422.72030799169994</v>
      </c>
      <c r="AN11" s="99">
        <f t="shared" si="23"/>
        <v>386.9674486339835</v>
      </c>
      <c r="AO11" s="102">
        <f t="shared" si="24"/>
        <v>242.9323737550292</v>
      </c>
      <c r="AP11" s="288">
        <f t="shared" si="25"/>
        <v>2674.8120966372567</v>
      </c>
      <c r="AQ11" s="283"/>
      <c r="AR11" s="99"/>
      <c r="AS11" s="115">
        <f t="shared" si="26"/>
        <v>63687.27400469896</v>
      </c>
    </row>
    <row r="12" spans="1:45" ht="12" customHeight="1">
      <c r="A12" s="25">
        <v>6</v>
      </c>
      <c r="B12" s="9" t="s">
        <v>79</v>
      </c>
      <c r="C12" s="89">
        <v>587.5</v>
      </c>
      <c r="D12" s="99"/>
      <c r="E12" s="99"/>
      <c r="F12" s="99"/>
      <c r="G12" s="99"/>
      <c r="H12" s="99"/>
      <c r="I12" s="99"/>
      <c r="J12" s="99"/>
      <c r="K12" s="99">
        <f>604.55+4599.55</f>
        <v>5204.1</v>
      </c>
      <c r="L12" s="99">
        <f>17427.7</f>
        <v>17427.7</v>
      </c>
      <c r="M12" s="99"/>
      <c r="N12" s="99"/>
      <c r="O12" s="99"/>
      <c r="P12" s="212">
        <f t="shared" si="0"/>
        <v>22631.800000000003</v>
      </c>
      <c r="Q12" s="287">
        <f t="shared" si="1"/>
        <v>1970.5903000664841</v>
      </c>
      <c r="R12" s="99">
        <f t="shared" si="2"/>
        <v>1965.888273676698</v>
      </c>
      <c r="S12" s="99">
        <f t="shared" si="3"/>
        <v>1872.9643539903914</v>
      </c>
      <c r="T12" s="99">
        <f t="shared" si="4"/>
        <v>1963.3031880883127</v>
      </c>
      <c r="U12" s="99">
        <f t="shared" si="5"/>
        <v>1976.3979738019978</v>
      </c>
      <c r="V12" s="99">
        <f t="shared" si="6"/>
        <v>1989.7520712749</v>
      </c>
      <c r="W12" s="99">
        <f t="shared" si="7"/>
        <v>1990.9628528037383</v>
      </c>
      <c r="X12" s="99">
        <f t="shared" si="8"/>
        <v>1990.9628469668219</v>
      </c>
      <c r="Y12" s="99">
        <f t="shared" si="9"/>
        <v>1934.814534750377</v>
      </c>
      <c r="Z12" s="99">
        <f t="shared" si="10"/>
        <v>1990.9628241182725</v>
      </c>
      <c r="AA12" s="106">
        <f t="shared" si="11"/>
        <v>1990.9628366990423</v>
      </c>
      <c r="AB12" s="106">
        <f t="shared" si="12"/>
        <v>1990.9628314594427</v>
      </c>
      <c r="AC12" s="288">
        <f t="shared" si="13"/>
        <v>23628.524887696476</v>
      </c>
      <c r="AD12" s="287">
        <f t="shared" si="14"/>
        <v>84.16838316527891</v>
      </c>
      <c r="AE12" s="106">
        <f t="shared" si="15"/>
        <v>174.39605356315215</v>
      </c>
      <c r="AF12" s="99">
        <f t="shared" si="16"/>
        <v>230.76698642617532</v>
      </c>
      <c r="AG12" s="99">
        <f t="shared" si="17"/>
        <v>342.8442603381597</v>
      </c>
      <c r="AH12" s="99">
        <f t="shared" si="18"/>
        <v>180.56587936869332</v>
      </c>
      <c r="AI12" s="99">
        <f t="shared" si="19"/>
        <v>206.2684301883928</v>
      </c>
      <c r="AJ12" s="99">
        <f t="shared" si="20"/>
        <v>198.0915211462552</v>
      </c>
      <c r="AK12" s="102"/>
      <c r="AL12" s="99">
        <f t="shared" si="21"/>
        <v>180.02574846597793</v>
      </c>
      <c r="AM12" s="99">
        <f t="shared" si="22"/>
        <v>416.18880035045527</v>
      </c>
      <c r="AN12" s="99">
        <f t="shared" si="23"/>
        <v>380.9883631727867</v>
      </c>
      <c r="AO12" s="102">
        <f t="shared" si="24"/>
        <v>239.1787933722343</v>
      </c>
      <c r="AP12" s="288">
        <f t="shared" si="25"/>
        <v>2633.483219557562</v>
      </c>
      <c r="AQ12" s="283"/>
      <c r="AR12" s="99"/>
      <c r="AS12" s="115">
        <f t="shared" si="26"/>
        <v>48893.80810725404</v>
      </c>
    </row>
    <row r="13" spans="1:45" ht="12" customHeight="1">
      <c r="A13" s="8">
        <v>7</v>
      </c>
      <c r="B13" s="9" t="s">
        <v>80</v>
      </c>
      <c r="C13" s="89">
        <v>582.4</v>
      </c>
      <c r="D13" s="99"/>
      <c r="E13" s="99"/>
      <c r="F13" s="99"/>
      <c r="G13" s="99"/>
      <c r="H13" s="99"/>
      <c r="I13" s="99"/>
      <c r="J13" s="99"/>
      <c r="K13" s="99">
        <f>604.55+2299.79</f>
        <v>2904.34</v>
      </c>
      <c r="L13" s="99">
        <f>17427.7</f>
        <v>17427.7</v>
      </c>
      <c r="M13" s="99"/>
      <c r="N13" s="99">
        <f>5378.2</f>
        <v>5378.2</v>
      </c>
      <c r="O13" s="99"/>
      <c r="P13" s="212">
        <f t="shared" si="0"/>
        <v>25710.24</v>
      </c>
      <c r="Q13" s="287">
        <f t="shared" si="1"/>
        <v>1953.4838991637791</v>
      </c>
      <c r="R13" s="99">
        <f t="shared" si="2"/>
        <v>1948.822690364781</v>
      </c>
      <c r="S13" s="99">
        <f t="shared" si="3"/>
        <v>1856.7054293855385</v>
      </c>
      <c r="T13" s="99">
        <f t="shared" si="4"/>
        <v>1946.2600455193758</v>
      </c>
      <c r="U13" s="99">
        <f t="shared" si="5"/>
        <v>1959.2411573485674</v>
      </c>
      <c r="V13" s="99">
        <f t="shared" si="6"/>
        <v>1972.4793298902155</v>
      </c>
      <c r="W13" s="99">
        <f t="shared" si="7"/>
        <v>1973.679600804931</v>
      </c>
      <c r="X13" s="99">
        <f t="shared" si="8"/>
        <v>1973.6795950186843</v>
      </c>
      <c r="Y13" s="99">
        <f t="shared" si="9"/>
        <v>1918.018697938076</v>
      </c>
      <c r="Z13" s="99">
        <f t="shared" si="10"/>
        <v>1973.6795723684797</v>
      </c>
      <c r="AA13" s="106">
        <f t="shared" si="11"/>
        <v>1973.679584840038</v>
      </c>
      <c r="AB13" s="106">
        <f t="shared" si="12"/>
        <v>1973.679579645922</v>
      </c>
      <c r="AC13" s="288">
        <f t="shared" si="13"/>
        <v>23423.40918228839</v>
      </c>
      <c r="AD13" s="287">
        <f t="shared" si="14"/>
        <v>83.43772996673778</v>
      </c>
      <c r="AE13" s="106">
        <f t="shared" si="15"/>
        <v>172.88214739605075</v>
      </c>
      <c r="AF13" s="99">
        <f t="shared" si="16"/>
        <v>228.76373258656085</v>
      </c>
      <c r="AG13" s="99">
        <f t="shared" si="17"/>
        <v>339.8680803760752</v>
      </c>
      <c r="AH13" s="99">
        <f t="shared" si="18"/>
        <v>178.99841386268423</v>
      </c>
      <c r="AI13" s="99">
        <f t="shared" si="19"/>
        <v>204.4778446667574</v>
      </c>
      <c r="AJ13" s="99">
        <f t="shared" si="20"/>
        <v>196.37191815417702</v>
      </c>
      <c r="AK13" s="102"/>
      <c r="AL13" s="99">
        <f t="shared" si="21"/>
        <v>178.46297175589027</v>
      </c>
      <c r="AM13" s="99">
        <f t="shared" si="22"/>
        <v>412.575927360179</v>
      </c>
      <c r="AN13" s="99">
        <f t="shared" si="23"/>
        <v>377.6810599350315</v>
      </c>
      <c r="AO13" s="102">
        <f t="shared" si="24"/>
        <v>237.10251788934337</v>
      </c>
      <c r="AP13" s="288">
        <f t="shared" si="25"/>
        <v>2610.6223439494875</v>
      </c>
      <c r="AQ13" s="283"/>
      <c r="AR13" s="99"/>
      <c r="AS13" s="115">
        <f t="shared" si="26"/>
        <v>51744.27152623788</v>
      </c>
    </row>
    <row r="14" spans="1:45" ht="12" customHeight="1" thickBot="1">
      <c r="A14" s="52">
        <v>7</v>
      </c>
      <c r="B14" s="53" t="s">
        <v>41</v>
      </c>
      <c r="C14" s="98">
        <f>C7+C9+C10+C11+C12+C13</f>
        <v>10691.52</v>
      </c>
      <c r="D14" s="105">
        <f>D7+D8+D9+D10+D11+D12+D13</f>
        <v>4247.68</v>
      </c>
      <c r="E14" s="105">
        <f aca="true" t="shared" si="27" ref="E14:AS14">E7+E8+E9+E10+E11+E12+E13</f>
        <v>0</v>
      </c>
      <c r="F14" s="105">
        <f t="shared" si="27"/>
        <v>8842.4</v>
      </c>
      <c r="G14" s="105">
        <f t="shared" si="27"/>
        <v>0</v>
      </c>
      <c r="H14" s="105">
        <f t="shared" si="27"/>
        <v>0</v>
      </c>
      <c r="I14" s="105">
        <f t="shared" si="27"/>
        <v>0</v>
      </c>
      <c r="J14" s="105">
        <f t="shared" si="27"/>
        <v>217107.49</v>
      </c>
      <c r="K14" s="105">
        <f t="shared" si="27"/>
        <v>336235.12</v>
      </c>
      <c r="L14" s="105">
        <f t="shared" si="27"/>
        <v>203036.68</v>
      </c>
      <c r="M14" s="105">
        <f t="shared" si="27"/>
        <v>8357.47</v>
      </c>
      <c r="N14" s="105">
        <f t="shared" si="27"/>
        <v>15093.189999999999</v>
      </c>
      <c r="O14" s="105">
        <f t="shared" si="27"/>
        <v>81024</v>
      </c>
      <c r="P14" s="105">
        <f t="shared" si="27"/>
        <v>873944.0299999999</v>
      </c>
      <c r="Q14" s="105">
        <f>Q7+Q8+Q9+Q10+Q11+Q12+Q13</f>
        <v>44691.0425716797</v>
      </c>
      <c r="R14" s="105">
        <f t="shared" si="27"/>
        <v>44584.40525515989</v>
      </c>
      <c r="S14" s="105">
        <f t="shared" si="27"/>
        <v>42476.982494331336</v>
      </c>
      <c r="T14" s="105">
        <f t="shared" si="27"/>
        <v>44525.778066099796</v>
      </c>
      <c r="U14" s="105">
        <f t="shared" si="27"/>
        <v>44822.75487846794</v>
      </c>
      <c r="V14" s="105">
        <f t="shared" si="27"/>
        <v>45125.61262553372</v>
      </c>
      <c r="W14" s="105">
        <f t="shared" si="27"/>
        <v>45153.07195528302</v>
      </c>
      <c r="X14" s="105">
        <f t="shared" si="27"/>
        <v>45153.07182290754</v>
      </c>
      <c r="Y14" s="105">
        <f t="shared" si="27"/>
        <v>43879.683533363816</v>
      </c>
      <c r="Z14" s="105">
        <f t="shared" si="27"/>
        <v>45153.07130472499</v>
      </c>
      <c r="AA14" s="105">
        <f t="shared" si="27"/>
        <v>45153.071590044434</v>
      </c>
      <c r="AB14" s="105">
        <f t="shared" si="27"/>
        <v>45153.07147121548</v>
      </c>
      <c r="AC14" s="306">
        <f t="shared" si="27"/>
        <v>535871.6175688118</v>
      </c>
      <c r="AD14" s="105">
        <f t="shared" si="27"/>
        <v>1908.8558362953586</v>
      </c>
      <c r="AE14" s="105">
        <f t="shared" si="27"/>
        <v>3955.130325091327</v>
      </c>
      <c r="AF14" s="105">
        <f t="shared" si="27"/>
        <v>5233.5674311207595</v>
      </c>
      <c r="AG14" s="105">
        <f t="shared" si="27"/>
        <v>7775.369356944363</v>
      </c>
      <c r="AH14" s="105">
        <f t="shared" si="27"/>
        <v>4095.0558832989286</v>
      </c>
      <c r="AI14" s="105">
        <f t="shared" si="27"/>
        <v>4677.964361456563</v>
      </c>
      <c r="AJ14" s="105">
        <f t="shared" si="27"/>
        <v>4492.5201369038505</v>
      </c>
      <c r="AK14" s="105">
        <f t="shared" si="27"/>
        <v>0</v>
      </c>
      <c r="AL14" s="105">
        <f t="shared" si="27"/>
        <v>4082.8062476609575</v>
      </c>
      <c r="AM14" s="105">
        <f t="shared" si="27"/>
        <v>9438.751116196494</v>
      </c>
      <c r="AN14" s="105">
        <f t="shared" si="27"/>
        <v>8640.439952076864</v>
      </c>
      <c r="AO14" s="105">
        <f t="shared" si="27"/>
        <v>5424.3389082352005</v>
      </c>
      <c r="AP14" s="306">
        <f t="shared" si="27"/>
        <v>59724.79955528066</v>
      </c>
      <c r="AQ14" s="303">
        <f t="shared" si="27"/>
        <v>0</v>
      </c>
      <c r="AR14" s="105">
        <f t="shared" si="27"/>
        <v>0</v>
      </c>
      <c r="AS14" s="213">
        <f t="shared" si="27"/>
        <v>1469540.4471240926</v>
      </c>
    </row>
    <row r="15" spans="4:40" ht="12.75">
      <c r="D15" s="263"/>
      <c r="E15" s="263"/>
      <c r="F15" s="263"/>
      <c r="G15" s="263"/>
      <c r="H15" s="263"/>
      <c r="I15" s="263"/>
      <c r="J15" s="263"/>
      <c r="K15" s="263"/>
      <c r="L15" s="308"/>
      <c r="M15" s="263"/>
      <c r="N15" s="263"/>
      <c r="O15" s="263"/>
      <c r="P15" s="34"/>
      <c r="AN15" s="310"/>
    </row>
    <row r="16" spans="1:16" ht="12.75">
      <c r="A16" s="46" t="s">
        <v>66</v>
      </c>
      <c r="D16" s="34"/>
      <c r="E16" s="34"/>
      <c r="F16" s="34"/>
      <c r="G16" s="34"/>
      <c r="H16" s="263"/>
      <c r="I16" s="263"/>
      <c r="J16" s="263"/>
      <c r="K16" s="263"/>
      <c r="L16" s="263"/>
      <c r="M16" s="263"/>
      <c r="N16" s="34"/>
      <c r="O16" s="263"/>
      <c r="P16" s="34"/>
    </row>
    <row r="17" spans="1:16" ht="12.75">
      <c r="A17" s="46" t="s">
        <v>67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261"/>
      <c r="O17" s="34"/>
      <c r="P17" s="34"/>
    </row>
    <row r="18" ht="12.75">
      <c r="A18" s="46" t="s">
        <v>68</v>
      </c>
    </row>
    <row r="19" ht="12.75">
      <c r="A19" s="46" t="s">
        <v>69</v>
      </c>
    </row>
    <row r="20" ht="12.75">
      <c r="A20" s="46" t="s">
        <v>70</v>
      </c>
    </row>
    <row r="21" ht="12.75">
      <c r="A21" s="46"/>
    </row>
    <row r="22" ht="12.75">
      <c r="A22" s="46" t="s">
        <v>71</v>
      </c>
    </row>
    <row r="23" ht="12.75">
      <c r="A23" s="46" t="s">
        <v>72</v>
      </c>
    </row>
    <row r="24" ht="12.75">
      <c r="A24" s="46" t="s">
        <v>73</v>
      </c>
    </row>
    <row r="25" spans="1:40" ht="12.75">
      <c r="A25" s="46" t="s">
        <v>74</v>
      </c>
      <c r="AN25" s="26"/>
    </row>
    <row r="26" ht="12.75">
      <c r="A26" s="46"/>
    </row>
    <row r="27" ht="12.75">
      <c r="A27" s="46" t="s">
        <v>75</v>
      </c>
    </row>
  </sheetData>
  <sheetProtection/>
  <autoFilter ref="A1:I14"/>
  <mergeCells count="6">
    <mergeCell ref="A5:P5"/>
    <mergeCell ref="A3:I3"/>
    <mergeCell ref="D4:P4"/>
    <mergeCell ref="A2:AS2"/>
    <mergeCell ref="Q4:AC4"/>
    <mergeCell ref="AD4:AP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B59"/>
  <sheetViews>
    <sheetView zoomScale="70" zoomScaleNormal="70" zoomScalePageLayoutView="0" workbookViewId="0" topLeftCell="A1">
      <pane xSplit="3" ySplit="3" topLeftCell="AL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M1" sqref="BM1:BM16384"/>
    </sheetView>
  </sheetViews>
  <sheetFormatPr defaultColWidth="9.140625" defaultRowHeight="12.75"/>
  <cols>
    <col min="1" max="1" width="6.28125" style="27" customWidth="1"/>
    <col min="2" max="2" width="19.7109375" style="27" customWidth="1"/>
    <col min="3" max="3" width="9.140625" style="26" customWidth="1"/>
    <col min="4" max="4" width="9.421875" style="26" hidden="1" customWidth="1"/>
    <col min="5" max="5" width="8.00390625" style="26" hidden="1" customWidth="1"/>
    <col min="6" max="7" width="9.421875" style="26" customWidth="1"/>
    <col min="8" max="8" width="9.421875" style="26" hidden="1" customWidth="1"/>
    <col min="9" max="9" width="7.8515625" style="26" hidden="1" customWidth="1"/>
    <col min="10" max="11" width="7.8515625" style="26" customWidth="1"/>
    <col min="12" max="13" width="9.421875" style="26" hidden="1" customWidth="1"/>
    <col min="14" max="14" width="9.421875" style="26" customWidth="1"/>
    <col min="15" max="15" width="9.57421875" style="26" customWidth="1"/>
    <col min="16" max="16" width="11.421875" style="26" hidden="1" customWidth="1"/>
    <col min="17" max="17" width="5.8515625" style="26" customWidth="1"/>
    <col min="18" max="18" width="7.421875" style="26" customWidth="1"/>
    <col min="19" max="20" width="8.28125" style="26" customWidth="1"/>
    <col min="21" max="21" width="8.28125" style="26" hidden="1" customWidth="1"/>
    <col min="22" max="22" width="9.421875" style="26" hidden="1" customWidth="1"/>
    <col min="23" max="23" width="10.57421875" style="26" hidden="1" customWidth="1"/>
    <col min="24" max="24" width="10.57421875" style="26" customWidth="1"/>
    <col min="25" max="25" width="8.421875" style="26" hidden="1" customWidth="1"/>
    <col min="26" max="26" width="7.00390625" style="26" customWidth="1"/>
    <col min="27" max="27" width="8.140625" style="26" customWidth="1"/>
    <col min="28" max="28" width="9.00390625" style="26" customWidth="1"/>
    <col min="29" max="29" width="8.140625" style="26" customWidth="1"/>
    <col min="30" max="30" width="9.28125" style="26" hidden="1" customWidth="1"/>
    <col min="31" max="31" width="7.140625" style="26" hidden="1" customWidth="1"/>
    <col min="32" max="34" width="7.140625" style="26" customWidth="1"/>
    <col min="35" max="35" width="8.140625" style="26" customWidth="1"/>
    <col min="36" max="36" width="8.57421875" style="26" customWidth="1"/>
    <col min="37" max="37" width="9.140625" style="26" customWidth="1"/>
    <col min="38" max="38" width="9.421875" style="26" customWidth="1"/>
    <col min="39" max="39" width="9.28125" style="26" customWidth="1"/>
    <col min="40" max="40" width="11.140625" style="26" customWidth="1"/>
    <col min="41" max="41" width="8.8515625" style="26" customWidth="1"/>
    <col min="42" max="42" width="6.8515625" style="26" customWidth="1"/>
    <col min="43" max="44" width="9.140625" style="26" customWidth="1"/>
    <col min="45" max="45" width="7.28125" style="26" customWidth="1"/>
    <col min="46" max="46" width="13.28125" style="26" customWidth="1"/>
    <col min="47" max="47" width="8.140625" style="26" customWidth="1"/>
    <col min="48" max="48" width="7.140625" style="26" customWidth="1"/>
    <col min="49" max="49" width="11.28125" style="26" customWidth="1"/>
    <col min="50" max="51" width="11.140625" style="26" hidden="1" customWidth="1"/>
    <col min="52" max="52" width="8.28125" style="26" customWidth="1"/>
    <col min="53" max="53" width="9.7109375" style="27" hidden="1" customWidth="1"/>
    <col min="54" max="55" width="9.7109375" style="27" customWidth="1"/>
    <col min="56" max="56" width="7.7109375" style="27" customWidth="1"/>
    <col min="57" max="57" width="10.421875" style="26" customWidth="1"/>
    <col min="58" max="58" width="9.8515625" style="26" hidden="1" customWidth="1"/>
    <col min="59" max="59" width="7.8515625" style="27" hidden="1" customWidth="1"/>
    <col min="60" max="60" width="9.8515625" style="27" hidden="1" customWidth="1"/>
    <col min="61" max="61" width="15.28125" style="27" customWidth="1"/>
    <col min="62" max="62" width="11.140625" style="27" customWidth="1"/>
    <col min="63" max="64" width="9.140625" style="27" customWidth="1"/>
    <col min="65" max="65" width="10.28125" style="27" hidden="1" customWidth="1"/>
    <col min="66" max="67" width="10.28125" style="27" customWidth="1"/>
  </cols>
  <sheetData>
    <row r="1" spans="1:67" ht="15" customHeight="1">
      <c r="A1" s="1"/>
      <c r="B1" s="3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5"/>
      <c r="BB1" s="35"/>
      <c r="BC1" s="35"/>
      <c r="BD1" s="35"/>
      <c r="BE1" s="2"/>
      <c r="BF1" s="2"/>
      <c r="BG1" s="35"/>
      <c r="BH1" s="35"/>
      <c r="BI1" s="35"/>
      <c r="BJ1" s="35"/>
      <c r="BK1" s="35"/>
      <c r="BL1" s="35"/>
      <c r="BM1" s="35"/>
      <c r="BN1" s="35"/>
      <c r="BO1" s="35"/>
    </row>
    <row r="2" spans="1:69" ht="67.5" customHeight="1">
      <c r="A2" s="38" t="s">
        <v>0</v>
      </c>
      <c r="B2" s="38" t="s">
        <v>1</v>
      </c>
      <c r="C2" s="38" t="s">
        <v>2</v>
      </c>
      <c r="D2" s="315" t="s">
        <v>119</v>
      </c>
      <c r="E2" s="316"/>
      <c r="F2" s="315" t="s">
        <v>55</v>
      </c>
      <c r="G2" s="316"/>
      <c r="H2" s="315" t="s">
        <v>122</v>
      </c>
      <c r="I2" s="316"/>
      <c r="J2" s="315" t="s">
        <v>177</v>
      </c>
      <c r="K2" s="316"/>
      <c r="L2" s="38" t="s">
        <v>125</v>
      </c>
      <c r="M2" s="38" t="s">
        <v>127</v>
      </c>
      <c r="N2" s="38" t="s">
        <v>56</v>
      </c>
      <c r="O2" s="42" t="s">
        <v>58</v>
      </c>
      <c r="P2" s="42" t="s">
        <v>102</v>
      </c>
      <c r="Q2" s="315" t="s">
        <v>214</v>
      </c>
      <c r="R2" s="316"/>
      <c r="S2" s="315" t="s">
        <v>188</v>
      </c>
      <c r="T2" s="316"/>
      <c r="U2" s="38" t="s">
        <v>104</v>
      </c>
      <c r="V2" s="38" t="s">
        <v>105</v>
      </c>
      <c r="W2" s="42" t="s">
        <v>161</v>
      </c>
      <c r="X2" s="42" t="s">
        <v>160</v>
      </c>
      <c r="Y2" s="42" t="s">
        <v>117</v>
      </c>
      <c r="Z2" s="315" t="s">
        <v>107</v>
      </c>
      <c r="AA2" s="316"/>
      <c r="AB2" s="315" t="s">
        <v>59</v>
      </c>
      <c r="AC2" s="316"/>
      <c r="AD2" s="315" t="s">
        <v>121</v>
      </c>
      <c r="AE2" s="316"/>
      <c r="AF2" s="315" t="s">
        <v>60</v>
      </c>
      <c r="AG2" s="333"/>
      <c r="AH2" s="316"/>
      <c r="AI2" s="315" t="s">
        <v>108</v>
      </c>
      <c r="AJ2" s="333"/>
      <c r="AK2" s="316"/>
      <c r="AL2" s="315" t="s">
        <v>61</v>
      </c>
      <c r="AM2" s="333"/>
      <c r="AN2" s="316"/>
      <c r="AO2" s="315" t="s">
        <v>62</v>
      </c>
      <c r="AP2" s="333"/>
      <c r="AQ2" s="316"/>
      <c r="AR2" s="315" t="s">
        <v>109</v>
      </c>
      <c r="AS2" s="316"/>
      <c r="AT2" s="38" t="s">
        <v>110</v>
      </c>
      <c r="AU2" s="315" t="s">
        <v>148</v>
      </c>
      <c r="AV2" s="316"/>
      <c r="AW2" s="172" t="s">
        <v>128</v>
      </c>
      <c r="AX2" s="42" t="s">
        <v>111</v>
      </c>
      <c r="AY2" s="38" t="s">
        <v>112</v>
      </c>
      <c r="AZ2" s="38" t="s">
        <v>94</v>
      </c>
      <c r="BA2" s="38" t="s">
        <v>57</v>
      </c>
      <c r="BB2" s="42" t="s">
        <v>139</v>
      </c>
      <c r="BC2" s="42" t="s">
        <v>142</v>
      </c>
      <c r="BD2" s="315" t="s">
        <v>98</v>
      </c>
      <c r="BE2" s="316"/>
      <c r="BF2" s="172" t="s">
        <v>118</v>
      </c>
      <c r="BG2" s="315" t="s">
        <v>114</v>
      </c>
      <c r="BH2" s="316"/>
      <c r="BI2" s="138" t="s">
        <v>212</v>
      </c>
      <c r="BJ2" s="138" t="s">
        <v>221</v>
      </c>
      <c r="BK2" s="138" t="s">
        <v>219</v>
      </c>
      <c r="BL2" s="138" t="s">
        <v>217</v>
      </c>
      <c r="BM2" s="138" t="s">
        <v>126</v>
      </c>
      <c r="BN2" s="138" t="s">
        <v>162</v>
      </c>
      <c r="BO2" s="138" t="s">
        <v>131</v>
      </c>
      <c r="BP2" s="76"/>
      <c r="BQ2" s="65"/>
    </row>
    <row r="3" spans="1:67" ht="21.75" customHeight="1">
      <c r="A3" s="39"/>
      <c r="B3" s="119" t="s">
        <v>8</v>
      </c>
      <c r="C3" s="40"/>
      <c r="D3" s="38" t="s">
        <v>63</v>
      </c>
      <c r="E3" s="38" t="s">
        <v>77</v>
      </c>
      <c r="F3" s="38" t="s">
        <v>63</v>
      </c>
      <c r="G3" s="38" t="s">
        <v>77</v>
      </c>
      <c r="H3" s="38" t="s">
        <v>63</v>
      </c>
      <c r="I3" s="38" t="s">
        <v>77</v>
      </c>
      <c r="J3" s="38" t="s">
        <v>77</v>
      </c>
      <c r="K3" s="38" t="s">
        <v>90</v>
      </c>
      <c r="L3" s="38" t="s">
        <v>77</v>
      </c>
      <c r="M3" s="38" t="s">
        <v>77</v>
      </c>
      <c r="N3" s="38" t="s">
        <v>86</v>
      </c>
      <c r="O3" s="38"/>
      <c r="P3" s="38"/>
      <c r="Q3" s="38" t="s">
        <v>77</v>
      </c>
      <c r="R3" s="38" t="s">
        <v>86</v>
      </c>
      <c r="S3" s="38" t="s">
        <v>77</v>
      </c>
      <c r="T3" s="38" t="s">
        <v>86</v>
      </c>
      <c r="U3" s="38"/>
      <c r="V3" s="38" t="s">
        <v>77</v>
      </c>
      <c r="W3" s="38"/>
      <c r="X3" s="38"/>
      <c r="Y3" s="38" t="s">
        <v>77</v>
      </c>
      <c r="Z3" s="38" t="s">
        <v>96</v>
      </c>
      <c r="AA3" s="38" t="s">
        <v>90</v>
      </c>
      <c r="AB3" s="38" t="s">
        <v>64</v>
      </c>
      <c r="AC3" s="38" t="s">
        <v>77</v>
      </c>
      <c r="AD3" s="38" t="s">
        <v>63</v>
      </c>
      <c r="AE3" s="38" t="s">
        <v>65</v>
      </c>
      <c r="AF3" s="38" t="s">
        <v>63</v>
      </c>
      <c r="AG3" s="38" t="s">
        <v>65</v>
      </c>
      <c r="AH3" s="38" t="s">
        <v>86</v>
      </c>
      <c r="AI3" s="38" t="s">
        <v>63</v>
      </c>
      <c r="AJ3" s="38" t="s">
        <v>65</v>
      </c>
      <c r="AK3" s="38" t="s">
        <v>90</v>
      </c>
      <c r="AL3" s="38" t="s">
        <v>63</v>
      </c>
      <c r="AM3" s="38" t="s">
        <v>65</v>
      </c>
      <c r="AN3" s="38" t="s">
        <v>90</v>
      </c>
      <c r="AO3" s="38" t="s">
        <v>63</v>
      </c>
      <c r="AP3" s="38" t="s">
        <v>65</v>
      </c>
      <c r="AQ3" s="38" t="s">
        <v>90</v>
      </c>
      <c r="AR3" s="38" t="s">
        <v>90</v>
      </c>
      <c r="AS3" s="38" t="s">
        <v>65</v>
      </c>
      <c r="AT3" s="38" t="s">
        <v>76</v>
      </c>
      <c r="AU3" s="38" t="s">
        <v>63</v>
      </c>
      <c r="AV3" s="38" t="s">
        <v>65</v>
      </c>
      <c r="AW3" s="38" t="s">
        <v>77</v>
      </c>
      <c r="AX3" s="38"/>
      <c r="AY3" s="38"/>
      <c r="AZ3" s="38"/>
      <c r="BA3" s="38"/>
      <c r="BB3" s="38"/>
      <c r="BC3" s="38"/>
      <c r="BD3" s="38" t="s">
        <v>65</v>
      </c>
      <c r="BE3" s="38" t="s">
        <v>90</v>
      </c>
      <c r="BF3" s="38" t="s">
        <v>86</v>
      </c>
      <c r="BG3" s="38" t="s">
        <v>96</v>
      </c>
      <c r="BH3" s="137" t="s">
        <v>86</v>
      </c>
      <c r="BI3" s="137"/>
      <c r="BJ3" s="137" t="s">
        <v>77</v>
      </c>
      <c r="BK3" s="137" t="s">
        <v>77</v>
      </c>
      <c r="BL3" s="137"/>
      <c r="BM3" s="137" t="s">
        <v>77</v>
      </c>
      <c r="BN3" s="137"/>
      <c r="BO3" s="137"/>
    </row>
    <row r="4" spans="1:67" s="26" customFormat="1" ht="12" customHeight="1">
      <c r="A4" s="319">
        <v>1</v>
      </c>
      <c r="B4" s="313" t="s">
        <v>9</v>
      </c>
      <c r="C4" s="313">
        <v>3886.9</v>
      </c>
      <c r="D4" s="120"/>
      <c r="E4" s="120"/>
      <c r="F4" s="120" t="s">
        <v>149</v>
      </c>
      <c r="G4" s="120">
        <v>4</v>
      </c>
      <c r="H4" s="120"/>
      <c r="I4" s="120"/>
      <c r="J4" s="120"/>
      <c r="K4" s="120"/>
      <c r="L4" s="120"/>
      <c r="M4" s="120"/>
      <c r="N4" s="120" t="s">
        <v>216</v>
      </c>
      <c r="O4" s="317" t="s">
        <v>100</v>
      </c>
      <c r="P4" s="317"/>
      <c r="Q4" s="235">
        <v>44</v>
      </c>
      <c r="R4" s="235" t="s">
        <v>216</v>
      </c>
      <c r="S4" s="120"/>
      <c r="T4" s="120"/>
      <c r="U4" s="317"/>
      <c r="V4" s="120"/>
      <c r="W4" s="317"/>
      <c r="X4" s="317" t="s">
        <v>100</v>
      </c>
      <c r="Y4" s="120"/>
      <c r="Z4" s="120"/>
      <c r="AA4" s="120"/>
      <c r="AB4" s="120"/>
      <c r="AC4" s="120"/>
      <c r="AD4" s="120"/>
      <c r="AE4" s="120"/>
      <c r="AF4" s="120" t="s">
        <v>149</v>
      </c>
      <c r="AG4" s="120">
        <v>10</v>
      </c>
      <c r="AH4" s="120" t="s">
        <v>181</v>
      </c>
      <c r="AI4" s="120"/>
      <c r="AJ4" s="120"/>
      <c r="AK4" s="120"/>
      <c r="AL4" s="120" t="s">
        <v>151</v>
      </c>
      <c r="AM4" s="120">
        <v>24</v>
      </c>
      <c r="AN4" s="120" t="s">
        <v>190</v>
      </c>
      <c r="AO4" s="120"/>
      <c r="AP4" s="120"/>
      <c r="AQ4" s="120"/>
      <c r="AR4" s="120"/>
      <c r="AS4" s="120"/>
      <c r="AT4" s="317">
        <v>3.5</v>
      </c>
      <c r="AU4" s="120" t="s">
        <v>147</v>
      </c>
      <c r="AV4" s="120">
        <v>16</v>
      </c>
      <c r="AW4" s="235"/>
      <c r="AX4" s="317"/>
      <c r="AY4" s="317"/>
      <c r="AZ4" s="317"/>
      <c r="BA4" s="198"/>
      <c r="BB4" s="198"/>
      <c r="BC4" s="198"/>
      <c r="BD4" s="120">
        <v>28</v>
      </c>
      <c r="BE4" s="120" t="s">
        <v>152</v>
      </c>
      <c r="BF4" s="120"/>
      <c r="BG4" s="120"/>
      <c r="BH4" s="120"/>
      <c r="BI4" s="317" t="s">
        <v>100</v>
      </c>
      <c r="BJ4" s="317">
        <v>2</v>
      </c>
      <c r="BK4" s="317"/>
      <c r="BL4" s="317"/>
      <c r="BM4" s="317"/>
      <c r="BN4" s="219"/>
      <c r="BO4" s="184"/>
    </row>
    <row r="5" spans="1:67" s="26" customFormat="1" ht="12" customHeight="1">
      <c r="A5" s="321"/>
      <c r="B5" s="322"/>
      <c r="C5" s="322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337"/>
      <c r="P5" s="337"/>
      <c r="Q5" s="246"/>
      <c r="R5" s="246"/>
      <c r="S5" s="120"/>
      <c r="T5" s="120"/>
      <c r="U5" s="337"/>
      <c r="V5" s="120"/>
      <c r="W5" s="337"/>
      <c r="X5" s="337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337"/>
      <c r="AU5" s="120"/>
      <c r="AV5" s="120"/>
      <c r="AW5" s="246"/>
      <c r="AX5" s="337"/>
      <c r="AY5" s="337"/>
      <c r="AZ5" s="337"/>
      <c r="BA5" s="198"/>
      <c r="BB5" s="198"/>
      <c r="BC5" s="198"/>
      <c r="BD5" s="120"/>
      <c r="BE5" s="120"/>
      <c r="BF5" s="120"/>
      <c r="BG5" s="120"/>
      <c r="BH5" s="120"/>
      <c r="BI5" s="337"/>
      <c r="BJ5" s="337"/>
      <c r="BK5" s="337"/>
      <c r="BL5" s="337"/>
      <c r="BM5" s="337"/>
      <c r="BN5" s="224"/>
      <c r="BO5" s="186"/>
    </row>
    <row r="6" spans="1:67" s="26" customFormat="1" ht="12" customHeight="1">
      <c r="A6" s="321"/>
      <c r="B6" s="322"/>
      <c r="C6" s="322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337"/>
      <c r="P6" s="337"/>
      <c r="Q6" s="246"/>
      <c r="R6" s="246"/>
      <c r="S6" s="120"/>
      <c r="T6" s="120"/>
      <c r="U6" s="337"/>
      <c r="V6" s="120"/>
      <c r="W6" s="337"/>
      <c r="X6" s="337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337"/>
      <c r="AU6" s="120"/>
      <c r="AV6" s="120"/>
      <c r="AW6" s="246"/>
      <c r="AX6" s="337"/>
      <c r="AY6" s="337"/>
      <c r="AZ6" s="337"/>
      <c r="BA6" s="198"/>
      <c r="BB6" s="198"/>
      <c r="BC6" s="198"/>
      <c r="BD6" s="120"/>
      <c r="BE6" s="120"/>
      <c r="BF6" s="120"/>
      <c r="BG6" s="120"/>
      <c r="BH6" s="120"/>
      <c r="BI6" s="337"/>
      <c r="BJ6" s="337"/>
      <c r="BK6" s="337"/>
      <c r="BL6" s="337"/>
      <c r="BM6" s="337"/>
      <c r="BN6" s="224"/>
      <c r="BO6" s="186"/>
    </row>
    <row r="7" spans="1:67" s="26" customFormat="1" ht="12" customHeight="1">
      <c r="A7" s="321"/>
      <c r="B7" s="322"/>
      <c r="C7" s="322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337"/>
      <c r="P7" s="337"/>
      <c r="Q7" s="246"/>
      <c r="R7" s="246"/>
      <c r="S7" s="120"/>
      <c r="T7" s="120"/>
      <c r="U7" s="337"/>
      <c r="V7" s="120"/>
      <c r="W7" s="337"/>
      <c r="X7" s="337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91"/>
      <c r="AO7" s="120"/>
      <c r="AP7" s="120"/>
      <c r="AQ7" s="120"/>
      <c r="AR7" s="120"/>
      <c r="AS7" s="120"/>
      <c r="AT7" s="337"/>
      <c r="AU7" s="120"/>
      <c r="AV7" s="120"/>
      <c r="AW7" s="246"/>
      <c r="AX7" s="337"/>
      <c r="AY7" s="337"/>
      <c r="AZ7" s="337"/>
      <c r="BA7" s="120"/>
      <c r="BB7" s="120"/>
      <c r="BC7" s="120"/>
      <c r="BD7" s="120"/>
      <c r="BE7" s="120"/>
      <c r="BF7" s="120"/>
      <c r="BG7" s="120"/>
      <c r="BH7" s="120"/>
      <c r="BI7" s="337"/>
      <c r="BJ7" s="337"/>
      <c r="BK7" s="337"/>
      <c r="BL7" s="337"/>
      <c r="BM7" s="337"/>
      <c r="BN7" s="224"/>
      <c r="BO7" s="186"/>
    </row>
    <row r="8" spans="1:67" s="26" customFormat="1" ht="12" customHeight="1">
      <c r="A8" s="321"/>
      <c r="B8" s="322"/>
      <c r="C8" s="322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337"/>
      <c r="P8" s="337"/>
      <c r="Q8" s="246"/>
      <c r="R8" s="246"/>
      <c r="S8" s="120"/>
      <c r="T8" s="120"/>
      <c r="U8" s="337"/>
      <c r="V8" s="120"/>
      <c r="W8" s="337"/>
      <c r="X8" s="337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91"/>
      <c r="AO8" s="120"/>
      <c r="AP8" s="120"/>
      <c r="AQ8" s="120"/>
      <c r="AR8" s="120"/>
      <c r="AS8" s="120"/>
      <c r="AT8" s="337"/>
      <c r="AU8" s="120"/>
      <c r="AV8" s="120"/>
      <c r="AW8" s="246"/>
      <c r="AX8" s="337"/>
      <c r="AY8" s="337"/>
      <c r="AZ8" s="337"/>
      <c r="BA8" s="120"/>
      <c r="BB8" s="120"/>
      <c r="BC8" s="120"/>
      <c r="BD8" s="120"/>
      <c r="BE8" s="120"/>
      <c r="BF8" s="120"/>
      <c r="BG8" s="120"/>
      <c r="BH8" s="120"/>
      <c r="BI8" s="337"/>
      <c r="BJ8" s="337"/>
      <c r="BK8" s="337"/>
      <c r="BL8" s="337"/>
      <c r="BM8" s="337"/>
      <c r="BN8" s="224"/>
      <c r="BO8" s="186"/>
    </row>
    <row r="9" spans="1:67" s="26" customFormat="1" ht="12" customHeight="1">
      <c r="A9" s="321"/>
      <c r="B9" s="322"/>
      <c r="C9" s="322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318"/>
      <c r="P9" s="318"/>
      <c r="Q9" s="236"/>
      <c r="R9" s="236"/>
      <c r="S9" s="120"/>
      <c r="T9" s="120"/>
      <c r="U9" s="318"/>
      <c r="V9" s="120"/>
      <c r="W9" s="318"/>
      <c r="X9" s="318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91"/>
      <c r="AO9" s="120"/>
      <c r="AP9" s="120"/>
      <c r="AQ9" s="120"/>
      <c r="AR9" s="120"/>
      <c r="AS9" s="120"/>
      <c r="AT9" s="318"/>
      <c r="AU9" s="120"/>
      <c r="AV9" s="120"/>
      <c r="AW9" s="236"/>
      <c r="AX9" s="318"/>
      <c r="AY9" s="318"/>
      <c r="AZ9" s="318"/>
      <c r="BA9" s="120"/>
      <c r="BB9" s="120"/>
      <c r="BC9" s="120"/>
      <c r="BD9" s="120"/>
      <c r="BE9" s="120"/>
      <c r="BF9" s="120"/>
      <c r="BG9" s="120"/>
      <c r="BH9" s="120"/>
      <c r="BI9" s="318"/>
      <c r="BJ9" s="318"/>
      <c r="BK9" s="318"/>
      <c r="BL9" s="318"/>
      <c r="BM9" s="318"/>
      <c r="BN9" s="220"/>
      <c r="BO9" s="185"/>
    </row>
    <row r="10" spans="1:67" s="44" customFormat="1" ht="12" customHeight="1">
      <c r="A10" s="327">
        <v>2</v>
      </c>
      <c r="B10" s="329" t="s">
        <v>10</v>
      </c>
      <c r="C10" s="329">
        <v>3432.3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 t="s">
        <v>215</v>
      </c>
      <c r="O10" s="334" t="s">
        <v>100</v>
      </c>
      <c r="P10" s="334"/>
      <c r="Q10" s="243">
        <v>16</v>
      </c>
      <c r="R10" s="243" t="s">
        <v>215</v>
      </c>
      <c r="S10" s="126"/>
      <c r="T10" s="126"/>
      <c r="U10" s="334"/>
      <c r="V10" s="126"/>
      <c r="W10" s="334"/>
      <c r="X10" s="334" t="s">
        <v>100</v>
      </c>
      <c r="Y10" s="126"/>
      <c r="Z10" s="126"/>
      <c r="AA10" s="126"/>
      <c r="AB10" s="126" t="s">
        <v>150</v>
      </c>
      <c r="AC10" s="126">
        <v>20</v>
      </c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90"/>
      <c r="AO10" s="126"/>
      <c r="AP10" s="126"/>
      <c r="AQ10" s="126"/>
      <c r="AR10" s="126"/>
      <c r="AS10" s="126"/>
      <c r="AT10" s="334"/>
      <c r="AU10" s="221"/>
      <c r="AV10" s="221"/>
      <c r="AW10" s="243"/>
      <c r="AX10" s="334"/>
      <c r="AY10" s="334"/>
      <c r="AZ10" s="334"/>
      <c r="BA10" s="126"/>
      <c r="BB10" s="334" t="s">
        <v>100</v>
      </c>
      <c r="BC10" s="221"/>
      <c r="BD10" s="126">
        <v>25</v>
      </c>
      <c r="BE10" s="126" t="s">
        <v>199</v>
      </c>
      <c r="BF10" s="126"/>
      <c r="BG10" s="126"/>
      <c r="BH10" s="126"/>
      <c r="BI10" s="334" t="s">
        <v>100</v>
      </c>
      <c r="BJ10" s="271"/>
      <c r="BK10" s="334">
        <v>1</v>
      </c>
      <c r="BL10" s="334" t="s">
        <v>100</v>
      </c>
      <c r="BM10" s="334"/>
      <c r="BN10" s="221"/>
      <c r="BO10" s="334" t="s">
        <v>100</v>
      </c>
    </row>
    <row r="11" spans="1:67" s="44" customFormat="1" ht="12" customHeight="1">
      <c r="A11" s="328"/>
      <c r="B11" s="330"/>
      <c r="C11" s="330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335"/>
      <c r="P11" s="335"/>
      <c r="Q11" s="244"/>
      <c r="R11" s="244"/>
      <c r="S11" s="126"/>
      <c r="T11" s="126"/>
      <c r="U11" s="335"/>
      <c r="V11" s="126"/>
      <c r="W11" s="335"/>
      <c r="X11" s="335"/>
      <c r="Y11" s="126"/>
      <c r="Z11" s="126"/>
      <c r="AA11" s="126"/>
      <c r="AB11" s="126" t="s">
        <v>151</v>
      </c>
      <c r="AC11" s="126">
        <v>2</v>
      </c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335"/>
      <c r="AU11" s="222"/>
      <c r="AV11" s="222"/>
      <c r="AW11" s="244"/>
      <c r="AX11" s="335"/>
      <c r="AY11" s="335"/>
      <c r="AZ11" s="335"/>
      <c r="BA11" s="126"/>
      <c r="BB11" s="335"/>
      <c r="BC11" s="222"/>
      <c r="BD11" s="126"/>
      <c r="BE11" s="126"/>
      <c r="BF11" s="126"/>
      <c r="BG11" s="126"/>
      <c r="BH11" s="126"/>
      <c r="BI11" s="335"/>
      <c r="BJ11" s="276"/>
      <c r="BK11" s="335"/>
      <c r="BL11" s="335"/>
      <c r="BM11" s="335"/>
      <c r="BN11" s="222"/>
      <c r="BO11" s="335"/>
    </row>
    <row r="12" spans="1:67" s="44" customFormat="1" ht="12" customHeight="1">
      <c r="A12" s="328"/>
      <c r="B12" s="330"/>
      <c r="C12" s="330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335"/>
      <c r="P12" s="335"/>
      <c r="Q12" s="244"/>
      <c r="R12" s="244"/>
      <c r="S12" s="126"/>
      <c r="T12" s="126"/>
      <c r="U12" s="335"/>
      <c r="V12" s="126"/>
      <c r="W12" s="335"/>
      <c r="X12" s="335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335"/>
      <c r="AU12" s="222"/>
      <c r="AV12" s="222"/>
      <c r="AW12" s="244"/>
      <c r="AX12" s="335"/>
      <c r="AY12" s="335"/>
      <c r="AZ12" s="335"/>
      <c r="BA12" s="126"/>
      <c r="BB12" s="335"/>
      <c r="BC12" s="222"/>
      <c r="BD12" s="126"/>
      <c r="BE12" s="126"/>
      <c r="BF12" s="126"/>
      <c r="BG12" s="126"/>
      <c r="BH12" s="126"/>
      <c r="BI12" s="335"/>
      <c r="BJ12" s="276"/>
      <c r="BK12" s="335"/>
      <c r="BL12" s="335"/>
      <c r="BM12" s="335"/>
      <c r="BN12" s="222"/>
      <c r="BO12" s="335"/>
    </row>
    <row r="13" spans="1:67" s="44" customFormat="1" ht="12" customHeight="1">
      <c r="A13" s="328"/>
      <c r="B13" s="330"/>
      <c r="C13" s="330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336"/>
      <c r="P13" s="336"/>
      <c r="Q13" s="245"/>
      <c r="R13" s="245"/>
      <c r="S13" s="126"/>
      <c r="T13" s="126"/>
      <c r="U13" s="336"/>
      <c r="V13" s="126"/>
      <c r="W13" s="336"/>
      <c r="X13" s="33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336"/>
      <c r="AU13" s="223"/>
      <c r="AV13" s="223"/>
      <c r="AW13" s="245"/>
      <c r="AX13" s="336"/>
      <c r="AY13" s="336"/>
      <c r="AZ13" s="336"/>
      <c r="BA13" s="126"/>
      <c r="BB13" s="336"/>
      <c r="BC13" s="223"/>
      <c r="BD13" s="126"/>
      <c r="BE13" s="126"/>
      <c r="BF13" s="126"/>
      <c r="BG13" s="126"/>
      <c r="BH13" s="126"/>
      <c r="BI13" s="336"/>
      <c r="BJ13" s="277"/>
      <c r="BK13" s="336"/>
      <c r="BL13" s="336"/>
      <c r="BM13" s="336"/>
      <c r="BN13" s="223"/>
      <c r="BO13" s="336"/>
    </row>
    <row r="14" spans="1:67" s="26" customFormat="1" ht="34.5" customHeight="1">
      <c r="A14" s="319">
        <v>3</v>
      </c>
      <c r="B14" s="313" t="s">
        <v>11</v>
      </c>
      <c r="C14" s="313">
        <v>3582.1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 t="s">
        <v>206</v>
      </c>
      <c r="O14" s="317" t="s">
        <v>100</v>
      </c>
      <c r="P14" s="317"/>
      <c r="Q14" s="120">
        <v>57</v>
      </c>
      <c r="R14" s="120" t="s">
        <v>206</v>
      </c>
      <c r="S14" s="120">
        <v>3</v>
      </c>
      <c r="T14" s="120" t="s">
        <v>206</v>
      </c>
      <c r="U14" s="317"/>
      <c r="V14" s="120"/>
      <c r="W14" s="317"/>
      <c r="X14" s="317" t="s">
        <v>100</v>
      </c>
      <c r="Y14" s="120"/>
      <c r="Z14" s="120">
        <v>10</v>
      </c>
      <c r="AA14" s="120" t="s">
        <v>136</v>
      </c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317"/>
      <c r="AU14" s="219"/>
      <c r="AV14" s="219"/>
      <c r="AW14" s="235"/>
      <c r="AX14" s="317"/>
      <c r="AY14" s="317"/>
      <c r="AZ14" s="317"/>
      <c r="BA14" s="120"/>
      <c r="BB14" s="120"/>
      <c r="BC14" s="120"/>
      <c r="BD14" s="120">
        <v>17</v>
      </c>
      <c r="BE14" s="120" t="s">
        <v>204</v>
      </c>
      <c r="BF14" s="120"/>
      <c r="BG14" s="120"/>
      <c r="BH14" s="120"/>
      <c r="BI14" s="317" t="s">
        <v>100</v>
      </c>
      <c r="BJ14" s="317">
        <v>1</v>
      </c>
      <c r="BK14" s="317">
        <v>2</v>
      </c>
      <c r="BL14" s="317"/>
      <c r="BM14" s="317"/>
      <c r="BN14" s="219"/>
      <c r="BO14" s="184"/>
    </row>
    <row r="15" spans="1:67" s="26" customFormat="1" ht="12.75">
      <c r="A15" s="321"/>
      <c r="B15" s="322"/>
      <c r="C15" s="322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337"/>
      <c r="P15" s="337"/>
      <c r="Q15" s="120"/>
      <c r="R15" s="120"/>
      <c r="S15" s="120"/>
      <c r="T15" s="120"/>
      <c r="U15" s="337"/>
      <c r="V15" s="120"/>
      <c r="W15" s="337"/>
      <c r="X15" s="337"/>
      <c r="Y15" s="120"/>
      <c r="Z15" s="120"/>
      <c r="AA15" s="120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20"/>
      <c r="AM15" s="120"/>
      <c r="AN15" s="120"/>
      <c r="AO15" s="120"/>
      <c r="AP15" s="120"/>
      <c r="AQ15" s="120"/>
      <c r="AR15" s="120"/>
      <c r="AS15" s="120"/>
      <c r="AT15" s="337"/>
      <c r="AU15" s="224"/>
      <c r="AV15" s="224"/>
      <c r="AW15" s="246"/>
      <c r="AX15" s="337"/>
      <c r="AY15" s="337"/>
      <c r="AZ15" s="337"/>
      <c r="BA15" s="120"/>
      <c r="BB15" s="120"/>
      <c r="BC15" s="120"/>
      <c r="BD15" s="143"/>
      <c r="BE15" s="143"/>
      <c r="BF15" s="143"/>
      <c r="BG15" s="120"/>
      <c r="BH15" s="120"/>
      <c r="BI15" s="337"/>
      <c r="BJ15" s="337"/>
      <c r="BK15" s="337"/>
      <c r="BL15" s="337"/>
      <c r="BM15" s="337"/>
      <c r="BN15" s="224"/>
      <c r="BO15" s="186"/>
    </row>
    <row r="16" spans="1:67" s="26" customFormat="1" ht="12.75">
      <c r="A16" s="321"/>
      <c r="B16" s="322"/>
      <c r="C16" s="322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318"/>
      <c r="P16" s="318"/>
      <c r="Q16" s="120"/>
      <c r="R16" s="120"/>
      <c r="S16" s="191"/>
      <c r="T16" s="191"/>
      <c r="U16" s="318"/>
      <c r="V16" s="191"/>
      <c r="W16" s="318"/>
      <c r="X16" s="318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318"/>
      <c r="AU16" s="220"/>
      <c r="AV16" s="220"/>
      <c r="AW16" s="236"/>
      <c r="AX16" s="318"/>
      <c r="AY16" s="318"/>
      <c r="AZ16" s="318"/>
      <c r="BA16" s="191"/>
      <c r="BB16" s="191"/>
      <c r="BC16" s="191"/>
      <c r="BD16" s="191"/>
      <c r="BE16" s="191"/>
      <c r="BF16" s="191"/>
      <c r="BG16" s="191"/>
      <c r="BH16" s="191"/>
      <c r="BI16" s="318"/>
      <c r="BJ16" s="318"/>
      <c r="BK16" s="318"/>
      <c r="BL16" s="318"/>
      <c r="BM16" s="318"/>
      <c r="BN16" s="220"/>
      <c r="BO16" s="185"/>
    </row>
    <row r="17" spans="1:67" s="44" customFormat="1" ht="12" customHeight="1">
      <c r="A17" s="327">
        <v>4</v>
      </c>
      <c r="B17" s="329" t="s">
        <v>12</v>
      </c>
      <c r="C17" s="329">
        <v>4289.94</v>
      </c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334" t="s">
        <v>100</v>
      </c>
      <c r="P17" s="334"/>
      <c r="Q17" s="243"/>
      <c r="R17" s="243"/>
      <c r="S17" s="190"/>
      <c r="T17" s="190"/>
      <c r="U17" s="334"/>
      <c r="V17" s="190"/>
      <c r="W17" s="334"/>
      <c r="X17" s="334" t="s">
        <v>100</v>
      </c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341"/>
      <c r="AU17" s="228"/>
      <c r="AV17" s="228"/>
      <c r="AW17" s="251"/>
      <c r="AX17" s="334"/>
      <c r="AY17" s="334"/>
      <c r="AZ17" s="334"/>
      <c r="BA17" s="190"/>
      <c r="BB17" s="190"/>
      <c r="BC17" s="190"/>
      <c r="BD17" s="190">
        <v>9</v>
      </c>
      <c r="BE17" s="190" t="s">
        <v>137</v>
      </c>
      <c r="BF17" s="190"/>
      <c r="BG17" s="190"/>
      <c r="BH17" s="190"/>
      <c r="BI17" s="334" t="s">
        <v>100</v>
      </c>
      <c r="BJ17" s="334">
        <v>2</v>
      </c>
      <c r="BK17" s="334">
        <v>4</v>
      </c>
      <c r="BL17" s="341"/>
      <c r="BM17" s="334"/>
      <c r="BN17" s="221"/>
      <c r="BO17" s="181"/>
    </row>
    <row r="18" spans="1:67" s="44" customFormat="1" ht="12" customHeight="1">
      <c r="A18" s="328"/>
      <c r="B18" s="330"/>
      <c r="C18" s="33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335"/>
      <c r="P18" s="335"/>
      <c r="Q18" s="244"/>
      <c r="R18" s="244"/>
      <c r="S18" s="190"/>
      <c r="T18" s="190"/>
      <c r="U18" s="335"/>
      <c r="V18" s="190"/>
      <c r="W18" s="335"/>
      <c r="X18" s="335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342"/>
      <c r="AU18" s="229"/>
      <c r="AV18" s="229"/>
      <c r="AW18" s="252"/>
      <c r="AX18" s="335"/>
      <c r="AY18" s="335"/>
      <c r="AZ18" s="335"/>
      <c r="BA18" s="190"/>
      <c r="BB18" s="190"/>
      <c r="BC18" s="190"/>
      <c r="BD18" s="190"/>
      <c r="BE18" s="190"/>
      <c r="BF18" s="190"/>
      <c r="BG18" s="190"/>
      <c r="BH18" s="190"/>
      <c r="BI18" s="335"/>
      <c r="BJ18" s="335"/>
      <c r="BK18" s="335"/>
      <c r="BL18" s="342"/>
      <c r="BM18" s="335"/>
      <c r="BN18" s="222"/>
      <c r="BO18" s="182"/>
    </row>
    <row r="19" spans="1:67" s="44" customFormat="1" ht="36.75" customHeight="1">
      <c r="A19" s="328"/>
      <c r="B19" s="330"/>
      <c r="C19" s="33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335"/>
      <c r="P19" s="335"/>
      <c r="Q19" s="244"/>
      <c r="R19" s="244"/>
      <c r="S19" s="190"/>
      <c r="T19" s="190"/>
      <c r="U19" s="335"/>
      <c r="V19" s="190"/>
      <c r="W19" s="335"/>
      <c r="X19" s="335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342"/>
      <c r="AU19" s="229"/>
      <c r="AV19" s="229"/>
      <c r="AW19" s="252"/>
      <c r="AX19" s="335"/>
      <c r="AY19" s="335"/>
      <c r="AZ19" s="335"/>
      <c r="BA19" s="190"/>
      <c r="BB19" s="190"/>
      <c r="BC19" s="190"/>
      <c r="BD19" s="190"/>
      <c r="BE19" s="190"/>
      <c r="BF19" s="190"/>
      <c r="BG19" s="126"/>
      <c r="BH19" s="126"/>
      <c r="BI19" s="335"/>
      <c r="BJ19" s="335"/>
      <c r="BK19" s="335"/>
      <c r="BL19" s="342"/>
      <c r="BM19" s="335"/>
      <c r="BN19" s="222"/>
      <c r="BO19" s="182"/>
    </row>
    <row r="20" spans="1:67" s="44" customFormat="1" ht="12" customHeight="1">
      <c r="A20" s="328"/>
      <c r="B20" s="330"/>
      <c r="C20" s="33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335"/>
      <c r="P20" s="335"/>
      <c r="Q20" s="244"/>
      <c r="R20" s="244"/>
      <c r="S20" s="190"/>
      <c r="T20" s="190"/>
      <c r="U20" s="335"/>
      <c r="V20" s="190"/>
      <c r="W20" s="335"/>
      <c r="X20" s="335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342"/>
      <c r="AU20" s="229"/>
      <c r="AV20" s="229"/>
      <c r="AW20" s="252"/>
      <c r="AX20" s="335"/>
      <c r="AY20" s="335"/>
      <c r="AZ20" s="335"/>
      <c r="BA20" s="190"/>
      <c r="BB20" s="190"/>
      <c r="BC20" s="190"/>
      <c r="BD20" s="190"/>
      <c r="BE20" s="190"/>
      <c r="BF20" s="190"/>
      <c r="BG20" s="190"/>
      <c r="BH20" s="190"/>
      <c r="BI20" s="335"/>
      <c r="BJ20" s="335"/>
      <c r="BK20" s="335"/>
      <c r="BL20" s="342"/>
      <c r="BM20" s="335"/>
      <c r="BN20" s="222"/>
      <c r="BO20" s="182"/>
    </row>
    <row r="21" spans="1:67" s="44" customFormat="1" ht="12.75" customHeight="1">
      <c r="A21" s="328"/>
      <c r="B21" s="330"/>
      <c r="C21" s="33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335"/>
      <c r="P21" s="335"/>
      <c r="Q21" s="244"/>
      <c r="R21" s="244"/>
      <c r="S21" s="190"/>
      <c r="T21" s="190"/>
      <c r="U21" s="335"/>
      <c r="V21" s="190"/>
      <c r="W21" s="335"/>
      <c r="X21" s="335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342"/>
      <c r="AU21" s="229"/>
      <c r="AV21" s="229"/>
      <c r="AW21" s="252"/>
      <c r="AX21" s="335"/>
      <c r="AY21" s="335"/>
      <c r="AZ21" s="335"/>
      <c r="BA21" s="190"/>
      <c r="BB21" s="190"/>
      <c r="BC21" s="190"/>
      <c r="BD21" s="205"/>
      <c r="BE21" s="190"/>
      <c r="BF21" s="190"/>
      <c r="BG21" s="190"/>
      <c r="BH21" s="190"/>
      <c r="BI21" s="335"/>
      <c r="BJ21" s="335"/>
      <c r="BK21" s="335"/>
      <c r="BL21" s="342"/>
      <c r="BM21" s="335"/>
      <c r="BN21" s="222"/>
      <c r="BO21" s="182"/>
    </row>
    <row r="22" spans="1:67" s="44" customFormat="1" ht="12" customHeight="1">
      <c r="A22" s="328"/>
      <c r="B22" s="330"/>
      <c r="C22" s="33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336"/>
      <c r="P22" s="336"/>
      <c r="Q22" s="245"/>
      <c r="R22" s="245"/>
      <c r="S22" s="190"/>
      <c r="T22" s="190"/>
      <c r="U22" s="336"/>
      <c r="V22" s="190"/>
      <c r="W22" s="336"/>
      <c r="X22" s="336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343"/>
      <c r="AU22" s="230"/>
      <c r="AV22" s="230"/>
      <c r="AW22" s="253"/>
      <c r="AX22" s="336"/>
      <c r="AY22" s="336"/>
      <c r="AZ22" s="336"/>
      <c r="BA22" s="190"/>
      <c r="BB22" s="190"/>
      <c r="BC22" s="190"/>
      <c r="BD22" s="190"/>
      <c r="BE22" s="190"/>
      <c r="BF22" s="190"/>
      <c r="BG22" s="190"/>
      <c r="BH22" s="190"/>
      <c r="BI22" s="336"/>
      <c r="BJ22" s="336"/>
      <c r="BK22" s="336"/>
      <c r="BL22" s="343"/>
      <c r="BM22" s="336"/>
      <c r="BN22" s="223"/>
      <c r="BO22" s="183"/>
    </row>
    <row r="23" spans="1:80" s="26" customFormat="1" ht="22.5" customHeight="1">
      <c r="A23" s="319">
        <v>5</v>
      </c>
      <c r="B23" s="313" t="s">
        <v>13</v>
      </c>
      <c r="C23" s="313">
        <v>4295.7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317" t="s">
        <v>100</v>
      </c>
      <c r="P23" s="317"/>
      <c r="Q23" s="235"/>
      <c r="R23" s="235"/>
      <c r="S23" s="191"/>
      <c r="T23" s="191"/>
      <c r="U23" s="317"/>
      <c r="V23" s="191"/>
      <c r="W23" s="317"/>
      <c r="X23" s="317" t="s">
        <v>100</v>
      </c>
      <c r="Y23" s="191"/>
      <c r="Z23" s="191"/>
      <c r="AA23" s="191"/>
      <c r="AB23" s="120" t="s">
        <v>151</v>
      </c>
      <c r="AC23" s="120">
        <v>17</v>
      </c>
      <c r="AD23" s="191"/>
      <c r="AE23" s="191"/>
      <c r="AF23" s="191" t="s">
        <v>149</v>
      </c>
      <c r="AG23" s="191">
        <v>6</v>
      </c>
      <c r="AH23" s="191" t="s">
        <v>185</v>
      </c>
      <c r="AI23" s="120"/>
      <c r="AJ23" s="120"/>
      <c r="AK23" s="120"/>
      <c r="AL23" s="191"/>
      <c r="AM23" s="191"/>
      <c r="AN23" s="191"/>
      <c r="AO23" s="191"/>
      <c r="AP23" s="191"/>
      <c r="AQ23" s="191"/>
      <c r="AR23" s="191"/>
      <c r="AS23" s="191"/>
      <c r="AT23" s="120">
        <v>2.5</v>
      </c>
      <c r="AU23" s="219"/>
      <c r="AV23" s="219"/>
      <c r="AW23" s="317">
        <v>1</v>
      </c>
      <c r="AX23" s="317"/>
      <c r="AY23" s="317"/>
      <c r="AZ23" s="344"/>
      <c r="BA23" s="191"/>
      <c r="BB23" s="191"/>
      <c r="BC23" s="191"/>
      <c r="BD23" s="191"/>
      <c r="BE23" s="191"/>
      <c r="BF23" s="191"/>
      <c r="BG23" s="191"/>
      <c r="BH23" s="191"/>
      <c r="BI23" s="317" t="s">
        <v>100</v>
      </c>
      <c r="BJ23" s="274"/>
      <c r="BK23" s="317">
        <v>1</v>
      </c>
      <c r="BL23" s="344"/>
      <c r="BM23" s="317"/>
      <c r="BN23" s="219"/>
      <c r="BO23" s="18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</row>
    <row r="24" spans="1:80" s="26" customFormat="1" ht="12" customHeight="1">
      <c r="A24" s="321"/>
      <c r="B24" s="322"/>
      <c r="C24" s="322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337"/>
      <c r="P24" s="337"/>
      <c r="Q24" s="246"/>
      <c r="R24" s="246"/>
      <c r="S24" s="191"/>
      <c r="T24" s="191"/>
      <c r="U24" s="337"/>
      <c r="V24" s="191"/>
      <c r="W24" s="337"/>
      <c r="X24" s="337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20"/>
      <c r="AU24" s="224"/>
      <c r="AV24" s="224"/>
      <c r="AW24" s="337"/>
      <c r="AX24" s="337"/>
      <c r="AY24" s="337"/>
      <c r="AZ24" s="345"/>
      <c r="BA24" s="191"/>
      <c r="BB24" s="191"/>
      <c r="BC24" s="191"/>
      <c r="BD24" s="191"/>
      <c r="BE24" s="191"/>
      <c r="BF24" s="191"/>
      <c r="BG24" s="191"/>
      <c r="BH24" s="191"/>
      <c r="BI24" s="337"/>
      <c r="BJ24" s="278"/>
      <c r="BK24" s="337"/>
      <c r="BL24" s="345"/>
      <c r="BM24" s="337"/>
      <c r="BN24" s="224"/>
      <c r="BO24" s="186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</row>
    <row r="25" spans="1:80" s="26" customFormat="1" ht="12" customHeight="1">
      <c r="A25" s="321"/>
      <c r="B25" s="322"/>
      <c r="C25" s="322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337"/>
      <c r="P25" s="337"/>
      <c r="Q25" s="246"/>
      <c r="R25" s="246"/>
      <c r="S25" s="191"/>
      <c r="T25" s="191"/>
      <c r="U25" s="337"/>
      <c r="V25" s="191"/>
      <c r="W25" s="337"/>
      <c r="X25" s="337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20"/>
      <c r="AU25" s="224"/>
      <c r="AV25" s="224"/>
      <c r="AW25" s="337"/>
      <c r="AX25" s="337"/>
      <c r="AY25" s="337"/>
      <c r="AZ25" s="345"/>
      <c r="BA25" s="191"/>
      <c r="BB25" s="191"/>
      <c r="BC25" s="191"/>
      <c r="BD25" s="191"/>
      <c r="BE25" s="191"/>
      <c r="BF25" s="191"/>
      <c r="BG25" s="191"/>
      <c r="BH25" s="191"/>
      <c r="BI25" s="337"/>
      <c r="BJ25" s="278"/>
      <c r="BK25" s="337"/>
      <c r="BL25" s="345"/>
      <c r="BM25" s="337"/>
      <c r="BN25" s="224"/>
      <c r="BO25" s="186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</row>
    <row r="26" spans="1:80" s="26" customFormat="1" ht="12" customHeight="1">
      <c r="A26" s="321"/>
      <c r="B26" s="322"/>
      <c r="C26" s="322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337"/>
      <c r="P26" s="337"/>
      <c r="Q26" s="246"/>
      <c r="R26" s="246"/>
      <c r="S26" s="191"/>
      <c r="T26" s="191"/>
      <c r="U26" s="337"/>
      <c r="V26" s="191"/>
      <c r="W26" s="337"/>
      <c r="X26" s="337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20"/>
      <c r="AU26" s="224"/>
      <c r="AV26" s="224"/>
      <c r="AW26" s="337"/>
      <c r="AX26" s="337"/>
      <c r="AY26" s="337"/>
      <c r="AZ26" s="345"/>
      <c r="BA26" s="191"/>
      <c r="BB26" s="191"/>
      <c r="BC26" s="191"/>
      <c r="BD26" s="191"/>
      <c r="BE26" s="191"/>
      <c r="BF26" s="191"/>
      <c r="BG26" s="191"/>
      <c r="BH26" s="191"/>
      <c r="BI26" s="337"/>
      <c r="BJ26" s="278"/>
      <c r="BK26" s="337"/>
      <c r="BL26" s="345"/>
      <c r="BM26" s="337"/>
      <c r="BN26" s="224"/>
      <c r="BO26" s="186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</row>
    <row r="27" spans="1:80" s="26" customFormat="1" ht="12" customHeight="1">
      <c r="A27" s="321"/>
      <c r="B27" s="322"/>
      <c r="C27" s="322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337"/>
      <c r="P27" s="337"/>
      <c r="Q27" s="246"/>
      <c r="R27" s="246"/>
      <c r="S27" s="191"/>
      <c r="T27" s="191"/>
      <c r="U27" s="337"/>
      <c r="V27" s="191"/>
      <c r="W27" s="337"/>
      <c r="X27" s="337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20"/>
      <c r="AU27" s="224"/>
      <c r="AV27" s="224"/>
      <c r="AW27" s="337"/>
      <c r="AX27" s="337"/>
      <c r="AY27" s="337"/>
      <c r="AZ27" s="345"/>
      <c r="BA27" s="191"/>
      <c r="BB27" s="191"/>
      <c r="BC27" s="191"/>
      <c r="BD27" s="191"/>
      <c r="BE27" s="191"/>
      <c r="BF27" s="191"/>
      <c r="BG27" s="191"/>
      <c r="BH27" s="191"/>
      <c r="BI27" s="337"/>
      <c r="BJ27" s="278"/>
      <c r="BK27" s="337"/>
      <c r="BL27" s="345"/>
      <c r="BM27" s="337"/>
      <c r="BN27" s="224"/>
      <c r="BO27" s="186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</row>
    <row r="28" spans="1:80" s="26" customFormat="1" ht="12" customHeight="1">
      <c r="A28" s="321"/>
      <c r="B28" s="322"/>
      <c r="C28" s="322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318"/>
      <c r="P28" s="318"/>
      <c r="Q28" s="236"/>
      <c r="R28" s="236"/>
      <c r="S28" s="191"/>
      <c r="T28" s="191"/>
      <c r="U28" s="318"/>
      <c r="V28" s="191"/>
      <c r="W28" s="318"/>
      <c r="X28" s="318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20"/>
      <c r="AU28" s="220"/>
      <c r="AV28" s="220"/>
      <c r="AW28" s="318"/>
      <c r="AX28" s="318"/>
      <c r="AY28" s="318"/>
      <c r="AZ28" s="346"/>
      <c r="BA28" s="191"/>
      <c r="BB28" s="191"/>
      <c r="BC28" s="191"/>
      <c r="BD28" s="191"/>
      <c r="BE28" s="191"/>
      <c r="BF28" s="191"/>
      <c r="BG28" s="191"/>
      <c r="BH28" s="191"/>
      <c r="BI28" s="318"/>
      <c r="BJ28" s="275"/>
      <c r="BK28" s="318"/>
      <c r="BL28" s="346"/>
      <c r="BM28" s="318"/>
      <c r="BN28" s="220"/>
      <c r="BO28" s="185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</row>
    <row r="29" spans="1:67" s="44" customFormat="1" ht="36" customHeight="1">
      <c r="A29" s="327">
        <v>6</v>
      </c>
      <c r="B29" s="329" t="s">
        <v>14</v>
      </c>
      <c r="C29" s="329">
        <v>2673.7</v>
      </c>
      <c r="D29" s="190"/>
      <c r="E29" s="190"/>
      <c r="F29" s="190"/>
      <c r="G29" s="190"/>
      <c r="H29" s="126"/>
      <c r="I29" s="126"/>
      <c r="J29" s="126"/>
      <c r="K29" s="126"/>
      <c r="L29" s="126"/>
      <c r="M29" s="126"/>
      <c r="N29" s="126" t="s">
        <v>207</v>
      </c>
      <c r="O29" s="334" t="s">
        <v>100</v>
      </c>
      <c r="P29" s="334"/>
      <c r="Q29" s="126">
        <v>56</v>
      </c>
      <c r="R29" s="126" t="s">
        <v>207</v>
      </c>
      <c r="S29" s="190"/>
      <c r="T29" s="190"/>
      <c r="U29" s="334"/>
      <c r="V29" s="190"/>
      <c r="W29" s="334"/>
      <c r="X29" s="334" t="s">
        <v>100</v>
      </c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26"/>
      <c r="AJ29" s="126"/>
      <c r="AK29" s="126"/>
      <c r="AL29" s="126"/>
      <c r="AM29" s="126"/>
      <c r="AN29" s="126"/>
      <c r="AO29" s="190"/>
      <c r="AP29" s="190"/>
      <c r="AQ29" s="190"/>
      <c r="AR29" s="126" t="s">
        <v>138</v>
      </c>
      <c r="AS29" s="126">
        <v>5</v>
      </c>
      <c r="AT29" s="334"/>
      <c r="AU29" s="221"/>
      <c r="AV29" s="221"/>
      <c r="AW29" s="243"/>
      <c r="AX29" s="334"/>
      <c r="AY29" s="334"/>
      <c r="AZ29" s="341"/>
      <c r="BA29" s="190"/>
      <c r="BB29" s="190"/>
      <c r="BC29" s="190"/>
      <c r="BD29" s="190"/>
      <c r="BE29" s="190"/>
      <c r="BF29" s="190"/>
      <c r="BG29" s="190"/>
      <c r="BH29" s="190"/>
      <c r="BI29" s="334" t="s">
        <v>100</v>
      </c>
      <c r="BJ29" s="334">
        <v>1</v>
      </c>
      <c r="BK29" s="334"/>
      <c r="BL29" s="334"/>
      <c r="BM29" s="334"/>
      <c r="BN29" s="221"/>
      <c r="BO29" s="181"/>
    </row>
    <row r="30" spans="1:67" s="44" customFormat="1" ht="12" customHeight="1">
      <c r="A30" s="328"/>
      <c r="B30" s="330"/>
      <c r="C30" s="33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335"/>
      <c r="P30" s="335"/>
      <c r="Q30" s="126"/>
      <c r="R30" s="126"/>
      <c r="S30" s="190"/>
      <c r="T30" s="190"/>
      <c r="U30" s="335"/>
      <c r="V30" s="190"/>
      <c r="W30" s="335"/>
      <c r="X30" s="335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335"/>
      <c r="AU30" s="222"/>
      <c r="AV30" s="222"/>
      <c r="AW30" s="244"/>
      <c r="AX30" s="335"/>
      <c r="AY30" s="335"/>
      <c r="AZ30" s="342"/>
      <c r="BA30" s="190"/>
      <c r="BB30" s="190"/>
      <c r="BC30" s="190"/>
      <c r="BD30" s="190"/>
      <c r="BE30" s="190"/>
      <c r="BF30" s="190"/>
      <c r="BG30" s="190"/>
      <c r="BH30" s="190"/>
      <c r="BI30" s="335"/>
      <c r="BJ30" s="335"/>
      <c r="BK30" s="335"/>
      <c r="BL30" s="335"/>
      <c r="BM30" s="335"/>
      <c r="BN30" s="222"/>
      <c r="BO30" s="182"/>
    </row>
    <row r="31" spans="1:67" s="44" customFormat="1" ht="12" customHeight="1">
      <c r="A31" s="328"/>
      <c r="B31" s="330"/>
      <c r="C31" s="33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335"/>
      <c r="P31" s="335"/>
      <c r="Q31" s="126"/>
      <c r="R31" s="126"/>
      <c r="S31" s="190"/>
      <c r="T31" s="190"/>
      <c r="U31" s="335"/>
      <c r="V31" s="190"/>
      <c r="W31" s="335"/>
      <c r="X31" s="335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335"/>
      <c r="AU31" s="222"/>
      <c r="AV31" s="222"/>
      <c r="AW31" s="244"/>
      <c r="AX31" s="335"/>
      <c r="AY31" s="335"/>
      <c r="AZ31" s="342"/>
      <c r="BA31" s="190"/>
      <c r="BB31" s="190"/>
      <c r="BC31" s="190"/>
      <c r="BD31" s="190"/>
      <c r="BE31" s="190"/>
      <c r="BF31" s="190"/>
      <c r="BG31" s="190"/>
      <c r="BH31" s="190"/>
      <c r="BI31" s="335"/>
      <c r="BJ31" s="335"/>
      <c r="BK31" s="335"/>
      <c r="BL31" s="335"/>
      <c r="BM31" s="335"/>
      <c r="BN31" s="222"/>
      <c r="BO31" s="182"/>
    </row>
    <row r="32" spans="1:67" s="44" customFormat="1" ht="12" customHeight="1">
      <c r="A32" s="328"/>
      <c r="B32" s="330"/>
      <c r="C32" s="33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336"/>
      <c r="P32" s="336"/>
      <c r="Q32" s="126"/>
      <c r="R32" s="126"/>
      <c r="S32" s="190"/>
      <c r="T32" s="190"/>
      <c r="U32" s="336"/>
      <c r="V32" s="190"/>
      <c r="W32" s="336"/>
      <c r="X32" s="336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336"/>
      <c r="AU32" s="223"/>
      <c r="AV32" s="223"/>
      <c r="AW32" s="245"/>
      <c r="AX32" s="336"/>
      <c r="AY32" s="336"/>
      <c r="AZ32" s="343"/>
      <c r="BA32" s="190"/>
      <c r="BB32" s="190"/>
      <c r="BC32" s="190"/>
      <c r="BD32" s="190"/>
      <c r="BE32" s="190"/>
      <c r="BF32" s="190"/>
      <c r="BG32" s="190"/>
      <c r="BH32" s="190"/>
      <c r="BI32" s="336"/>
      <c r="BJ32" s="336"/>
      <c r="BK32" s="336"/>
      <c r="BL32" s="336"/>
      <c r="BM32" s="336"/>
      <c r="BN32" s="223"/>
      <c r="BO32" s="183"/>
    </row>
    <row r="33" spans="1:67" s="26" customFormat="1" ht="12.75">
      <c r="A33" s="319">
        <v>7</v>
      </c>
      <c r="B33" s="313" t="s">
        <v>15</v>
      </c>
      <c r="C33" s="313">
        <v>4279.8</v>
      </c>
      <c r="D33" s="191"/>
      <c r="E33" s="191"/>
      <c r="F33" s="120" t="s">
        <v>149</v>
      </c>
      <c r="G33" s="120">
        <v>2</v>
      </c>
      <c r="H33" s="191"/>
      <c r="I33" s="191"/>
      <c r="J33" s="191"/>
      <c r="K33" s="191"/>
      <c r="L33" s="191"/>
      <c r="M33" s="191"/>
      <c r="N33" s="191"/>
      <c r="O33" s="317" t="s">
        <v>100</v>
      </c>
      <c r="P33" s="317"/>
      <c r="Q33" s="235"/>
      <c r="R33" s="235"/>
      <c r="S33" s="191"/>
      <c r="T33" s="191"/>
      <c r="U33" s="317"/>
      <c r="V33" s="317"/>
      <c r="W33" s="317"/>
      <c r="X33" s="317" t="s">
        <v>100</v>
      </c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20"/>
      <c r="AP33" s="120"/>
      <c r="AQ33" s="120"/>
      <c r="AR33" s="191"/>
      <c r="AS33" s="191"/>
      <c r="AT33" s="344"/>
      <c r="AU33" s="225"/>
      <c r="AV33" s="225"/>
      <c r="AW33" s="248"/>
      <c r="AX33" s="317"/>
      <c r="AY33" s="317"/>
      <c r="AZ33" s="344"/>
      <c r="BA33" s="191"/>
      <c r="BB33" s="191"/>
      <c r="BC33" s="191"/>
      <c r="BD33" s="120">
        <v>57</v>
      </c>
      <c r="BE33" s="120" t="s">
        <v>195</v>
      </c>
      <c r="BF33" s="191"/>
      <c r="BG33" s="191"/>
      <c r="BH33" s="191"/>
      <c r="BI33" s="317" t="s">
        <v>100</v>
      </c>
      <c r="BJ33" s="274"/>
      <c r="BK33" s="317"/>
      <c r="BL33" s="317"/>
      <c r="BM33" s="317"/>
      <c r="BN33" s="317" t="s">
        <v>100</v>
      </c>
      <c r="BO33" s="184"/>
    </row>
    <row r="34" spans="1:67" s="26" customFormat="1" ht="12" customHeight="1">
      <c r="A34" s="321"/>
      <c r="B34" s="322"/>
      <c r="C34" s="322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337"/>
      <c r="P34" s="337"/>
      <c r="Q34" s="246"/>
      <c r="R34" s="246"/>
      <c r="S34" s="191"/>
      <c r="T34" s="191"/>
      <c r="U34" s="337"/>
      <c r="V34" s="337"/>
      <c r="W34" s="337"/>
      <c r="X34" s="337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345"/>
      <c r="AU34" s="226"/>
      <c r="AV34" s="226"/>
      <c r="AW34" s="249"/>
      <c r="AX34" s="337"/>
      <c r="AY34" s="337"/>
      <c r="AZ34" s="345"/>
      <c r="BA34" s="191"/>
      <c r="BB34" s="191"/>
      <c r="BC34" s="191"/>
      <c r="BD34" s="191">
        <v>18.5</v>
      </c>
      <c r="BE34" s="191" t="s">
        <v>196</v>
      </c>
      <c r="BF34" s="191"/>
      <c r="BG34" s="191"/>
      <c r="BH34" s="191"/>
      <c r="BI34" s="337"/>
      <c r="BJ34" s="278"/>
      <c r="BK34" s="337"/>
      <c r="BL34" s="337"/>
      <c r="BM34" s="337"/>
      <c r="BN34" s="337"/>
      <c r="BO34" s="186"/>
    </row>
    <row r="35" spans="1:67" s="26" customFormat="1" ht="12" customHeight="1">
      <c r="A35" s="321"/>
      <c r="B35" s="322"/>
      <c r="C35" s="322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337"/>
      <c r="P35" s="337"/>
      <c r="Q35" s="246"/>
      <c r="R35" s="246"/>
      <c r="S35" s="191"/>
      <c r="T35" s="191"/>
      <c r="U35" s="337"/>
      <c r="V35" s="337"/>
      <c r="W35" s="337"/>
      <c r="X35" s="337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345"/>
      <c r="AU35" s="226"/>
      <c r="AV35" s="226"/>
      <c r="AW35" s="249"/>
      <c r="AX35" s="337"/>
      <c r="AY35" s="337"/>
      <c r="AZ35" s="345"/>
      <c r="BA35" s="191"/>
      <c r="BB35" s="191"/>
      <c r="BC35" s="191"/>
      <c r="BD35" s="191"/>
      <c r="BE35" s="191"/>
      <c r="BF35" s="191"/>
      <c r="BG35" s="191"/>
      <c r="BH35" s="191"/>
      <c r="BI35" s="337"/>
      <c r="BJ35" s="278"/>
      <c r="BK35" s="337"/>
      <c r="BL35" s="337"/>
      <c r="BM35" s="337"/>
      <c r="BN35" s="337"/>
      <c r="BO35" s="186"/>
    </row>
    <row r="36" spans="1:67" s="26" customFormat="1" ht="12" customHeight="1">
      <c r="A36" s="320"/>
      <c r="B36" s="314"/>
      <c r="C36" s="314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318"/>
      <c r="P36" s="318"/>
      <c r="Q36" s="236"/>
      <c r="R36" s="236"/>
      <c r="S36" s="191"/>
      <c r="T36" s="191"/>
      <c r="U36" s="318"/>
      <c r="V36" s="318"/>
      <c r="W36" s="318"/>
      <c r="X36" s="318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346"/>
      <c r="AU36" s="227"/>
      <c r="AV36" s="227"/>
      <c r="AW36" s="250"/>
      <c r="AX36" s="318"/>
      <c r="AY36" s="318"/>
      <c r="AZ36" s="346"/>
      <c r="BA36" s="191"/>
      <c r="BB36" s="191"/>
      <c r="BC36" s="191"/>
      <c r="BD36" s="191"/>
      <c r="BE36" s="191"/>
      <c r="BF36" s="191"/>
      <c r="BG36" s="191"/>
      <c r="BH36" s="191"/>
      <c r="BI36" s="318"/>
      <c r="BJ36" s="275"/>
      <c r="BK36" s="318"/>
      <c r="BL36" s="318"/>
      <c r="BM36" s="318"/>
      <c r="BN36" s="318"/>
      <c r="BO36" s="185"/>
    </row>
    <row r="37" spans="1:67" s="44" customFormat="1" ht="25.5" customHeight="1">
      <c r="A37" s="327">
        <v>8</v>
      </c>
      <c r="B37" s="329" t="s">
        <v>16</v>
      </c>
      <c r="C37" s="329">
        <v>5057.4</v>
      </c>
      <c r="D37" s="190"/>
      <c r="E37" s="190"/>
      <c r="F37" s="126" t="s">
        <v>149</v>
      </c>
      <c r="G37" s="126">
        <v>2</v>
      </c>
      <c r="H37" s="126"/>
      <c r="I37" s="126"/>
      <c r="J37" s="243"/>
      <c r="K37" s="243"/>
      <c r="L37" s="334"/>
      <c r="M37" s="334"/>
      <c r="N37" s="190" t="s">
        <v>213</v>
      </c>
      <c r="O37" s="334" t="s">
        <v>100</v>
      </c>
      <c r="P37" s="334"/>
      <c r="Q37" s="126">
        <v>48</v>
      </c>
      <c r="R37" s="126" t="s">
        <v>213</v>
      </c>
      <c r="S37" s="190"/>
      <c r="T37" s="190"/>
      <c r="U37" s="334"/>
      <c r="V37" s="190"/>
      <c r="W37" s="334"/>
      <c r="X37" s="334" t="s">
        <v>100</v>
      </c>
      <c r="Y37" s="190"/>
      <c r="Z37" s="190"/>
      <c r="AA37" s="190"/>
      <c r="AB37" s="126" t="s">
        <v>150</v>
      </c>
      <c r="AC37" s="126">
        <v>28</v>
      </c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26"/>
      <c r="AP37" s="126"/>
      <c r="AQ37" s="126"/>
      <c r="AR37" s="190"/>
      <c r="AS37" s="190"/>
      <c r="AT37" s="341"/>
      <c r="AU37" s="228"/>
      <c r="AV37" s="228"/>
      <c r="AW37" s="251"/>
      <c r="AX37" s="334"/>
      <c r="AY37" s="334"/>
      <c r="AZ37" s="334"/>
      <c r="BA37" s="190"/>
      <c r="BB37" s="334" t="s">
        <v>100</v>
      </c>
      <c r="BC37" s="221"/>
      <c r="BD37" s="190">
        <v>10</v>
      </c>
      <c r="BE37" s="190" t="s">
        <v>202</v>
      </c>
      <c r="BF37" s="190"/>
      <c r="BG37" s="190"/>
      <c r="BH37" s="190"/>
      <c r="BI37" s="334" t="s">
        <v>100</v>
      </c>
      <c r="BJ37" s="271"/>
      <c r="BK37" s="341"/>
      <c r="BL37" s="341"/>
      <c r="BM37" s="334"/>
      <c r="BN37" s="221"/>
      <c r="BO37" s="181"/>
    </row>
    <row r="38" spans="1:67" s="44" customFormat="1" ht="39" customHeight="1">
      <c r="A38" s="328"/>
      <c r="B38" s="330"/>
      <c r="C38" s="330"/>
      <c r="D38" s="190"/>
      <c r="E38" s="190"/>
      <c r="F38" s="190"/>
      <c r="G38" s="190"/>
      <c r="H38" s="190"/>
      <c r="I38" s="190"/>
      <c r="J38" s="252"/>
      <c r="K38" s="252"/>
      <c r="L38" s="335"/>
      <c r="M38" s="335"/>
      <c r="N38" s="190"/>
      <c r="O38" s="335"/>
      <c r="P38" s="335"/>
      <c r="Q38" s="126"/>
      <c r="R38" s="126"/>
      <c r="S38" s="190"/>
      <c r="T38" s="190"/>
      <c r="U38" s="335"/>
      <c r="V38" s="190"/>
      <c r="W38" s="335"/>
      <c r="X38" s="335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26"/>
      <c r="AM38" s="126"/>
      <c r="AN38" s="126"/>
      <c r="AO38" s="126"/>
      <c r="AP38" s="126"/>
      <c r="AQ38" s="126"/>
      <c r="AR38" s="190"/>
      <c r="AS38" s="190"/>
      <c r="AT38" s="342"/>
      <c r="AU38" s="229"/>
      <c r="AV38" s="229"/>
      <c r="AW38" s="252"/>
      <c r="AX38" s="335"/>
      <c r="AY38" s="335"/>
      <c r="AZ38" s="335"/>
      <c r="BA38" s="190"/>
      <c r="BB38" s="335"/>
      <c r="BC38" s="222"/>
      <c r="BD38" s="190"/>
      <c r="BE38" s="190"/>
      <c r="BF38" s="190"/>
      <c r="BG38" s="190"/>
      <c r="BH38" s="190"/>
      <c r="BI38" s="335"/>
      <c r="BJ38" s="276"/>
      <c r="BK38" s="342"/>
      <c r="BL38" s="342"/>
      <c r="BM38" s="335"/>
      <c r="BN38" s="222"/>
      <c r="BO38" s="182"/>
    </row>
    <row r="39" spans="1:67" s="44" customFormat="1" ht="12" customHeight="1">
      <c r="A39" s="328"/>
      <c r="B39" s="330"/>
      <c r="C39" s="330"/>
      <c r="D39" s="190"/>
      <c r="E39" s="190"/>
      <c r="F39" s="190"/>
      <c r="G39" s="190"/>
      <c r="H39" s="190"/>
      <c r="I39" s="190"/>
      <c r="J39" s="252"/>
      <c r="K39" s="252"/>
      <c r="L39" s="335"/>
      <c r="M39" s="335"/>
      <c r="N39" s="190"/>
      <c r="O39" s="335"/>
      <c r="P39" s="335"/>
      <c r="Q39" s="126"/>
      <c r="R39" s="126"/>
      <c r="S39" s="190"/>
      <c r="T39" s="190"/>
      <c r="U39" s="335"/>
      <c r="V39" s="190"/>
      <c r="W39" s="335"/>
      <c r="X39" s="335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342"/>
      <c r="AU39" s="229"/>
      <c r="AV39" s="229"/>
      <c r="AW39" s="252"/>
      <c r="AX39" s="335"/>
      <c r="AY39" s="335"/>
      <c r="AZ39" s="335"/>
      <c r="BA39" s="190"/>
      <c r="BB39" s="335"/>
      <c r="BC39" s="222"/>
      <c r="BD39" s="190"/>
      <c r="BE39" s="190"/>
      <c r="BF39" s="190"/>
      <c r="BG39" s="190"/>
      <c r="BH39" s="190"/>
      <c r="BI39" s="335"/>
      <c r="BJ39" s="276"/>
      <c r="BK39" s="342"/>
      <c r="BL39" s="342"/>
      <c r="BM39" s="335"/>
      <c r="BN39" s="222"/>
      <c r="BO39" s="182"/>
    </row>
    <row r="40" spans="1:67" s="44" customFormat="1" ht="12" customHeight="1">
      <c r="A40" s="328"/>
      <c r="B40" s="330"/>
      <c r="C40" s="330"/>
      <c r="D40" s="190"/>
      <c r="E40" s="190"/>
      <c r="F40" s="190"/>
      <c r="G40" s="190"/>
      <c r="H40" s="190"/>
      <c r="I40" s="190"/>
      <c r="J40" s="252"/>
      <c r="K40" s="252"/>
      <c r="L40" s="335"/>
      <c r="M40" s="335"/>
      <c r="N40" s="190"/>
      <c r="O40" s="335"/>
      <c r="P40" s="335"/>
      <c r="Q40" s="126"/>
      <c r="R40" s="126"/>
      <c r="S40" s="190"/>
      <c r="T40" s="190"/>
      <c r="U40" s="335"/>
      <c r="V40" s="190"/>
      <c r="W40" s="335"/>
      <c r="X40" s="335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342"/>
      <c r="AU40" s="229"/>
      <c r="AV40" s="229"/>
      <c r="AW40" s="252"/>
      <c r="AX40" s="335"/>
      <c r="AY40" s="335"/>
      <c r="AZ40" s="335"/>
      <c r="BA40" s="190"/>
      <c r="BB40" s="335"/>
      <c r="BC40" s="222"/>
      <c r="BD40" s="190"/>
      <c r="BE40" s="190"/>
      <c r="BF40" s="190"/>
      <c r="BG40" s="190"/>
      <c r="BH40" s="190"/>
      <c r="BI40" s="335"/>
      <c r="BJ40" s="276"/>
      <c r="BK40" s="342"/>
      <c r="BL40" s="342"/>
      <c r="BM40" s="335"/>
      <c r="BN40" s="222"/>
      <c r="BO40" s="182"/>
    </row>
    <row r="41" spans="1:67" s="44" customFormat="1" ht="12" customHeight="1">
      <c r="A41" s="328"/>
      <c r="B41" s="330"/>
      <c r="C41" s="330"/>
      <c r="D41" s="190"/>
      <c r="E41" s="190"/>
      <c r="F41" s="190"/>
      <c r="G41" s="190"/>
      <c r="H41" s="190"/>
      <c r="I41" s="190"/>
      <c r="J41" s="252"/>
      <c r="K41" s="252"/>
      <c r="L41" s="335"/>
      <c r="M41" s="335"/>
      <c r="N41" s="190"/>
      <c r="O41" s="335"/>
      <c r="P41" s="335"/>
      <c r="Q41" s="126"/>
      <c r="R41" s="126"/>
      <c r="S41" s="190"/>
      <c r="T41" s="190"/>
      <c r="U41" s="335"/>
      <c r="V41" s="190"/>
      <c r="W41" s="335"/>
      <c r="X41" s="335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342"/>
      <c r="AU41" s="229"/>
      <c r="AV41" s="229"/>
      <c r="AW41" s="252"/>
      <c r="AX41" s="335"/>
      <c r="AY41" s="335"/>
      <c r="AZ41" s="335"/>
      <c r="BA41" s="190"/>
      <c r="BB41" s="335"/>
      <c r="BC41" s="222"/>
      <c r="BD41" s="190"/>
      <c r="BE41" s="190"/>
      <c r="BF41" s="190"/>
      <c r="BG41" s="190"/>
      <c r="BH41" s="190"/>
      <c r="BI41" s="335"/>
      <c r="BJ41" s="276"/>
      <c r="BK41" s="342"/>
      <c r="BL41" s="342"/>
      <c r="BM41" s="335"/>
      <c r="BN41" s="222"/>
      <c r="BO41" s="182"/>
    </row>
    <row r="42" spans="1:67" s="44" customFormat="1" ht="12" customHeight="1">
      <c r="A42" s="328"/>
      <c r="B42" s="330"/>
      <c r="C42" s="330"/>
      <c r="D42" s="190"/>
      <c r="E42" s="190"/>
      <c r="F42" s="190"/>
      <c r="G42" s="190"/>
      <c r="H42" s="190"/>
      <c r="I42" s="190"/>
      <c r="J42" s="253"/>
      <c r="K42" s="253"/>
      <c r="L42" s="336"/>
      <c r="M42" s="336"/>
      <c r="N42" s="190"/>
      <c r="O42" s="336"/>
      <c r="P42" s="336"/>
      <c r="Q42" s="126"/>
      <c r="R42" s="126"/>
      <c r="S42" s="190"/>
      <c r="T42" s="190"/>
      <c r="U42" s="336"/>
      <c r="V42" s="190"/>
      <c r="W42" s="336"/>
      <c r="X42" s="336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343"/>
      <c r="AU42" s="230"/>
      <c r="AV42" s="230"/>
      <c r="AW42" s="253"/>
      <c r="AX42" s="336"/>
      <c r="AY42" s="336"/>
      <c r="AZ42" s="336"/>
      <c r="BA42" s="190"/>
      <c r="BB42" s="336"/>
      <c r="BC42" s="223"/>
      <c r="BD42" s="190"/>
      <c r="BE42" s="190"/>
      <c r="BF42" s="190"/>
      <c r="BG42" s="190"/>
      <c r="BH42" s="190"/>
      <c r="BI42" s="336"/>
      <c r="BJ42" s="277"/>
      <c r="BK42" s="343"/>
      <c r="BL42" s="343"/>
      <c r="BM42" s="336"/>
      <c r="BN42" s="223"/>
      <c r="BO42" s="183"/>
    </row>
    <row r="43" spans="1:75" s="26" customFormat="1" ht="12" customHeight="1">
      <c r="A43" s="319">
        <v>9</v>
      </c>
      <c r="B43" s="313" t="s">
        <v>17</v>
      </c>
      <c r="C43" s="313">
        <v>4276.6</v>
      </c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317" t="s">
        <v>100</v>
      </c>
      <c r="P43" s="317"/>
      <c r="Q43" s="235"/>
      <c r="R43" s="235"/>
      <c r="S43" s="191"/>
      <c r="T43" s="191"/>
      <c r="U43" s="317"/>
      <c r="V43" s="191"/>
      <c r="W43" s="317"/>
      <c r="X43" s="317" t="s">
        <v>100</v>
      </c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344"/>
      <c r="AU43" s="225"/>
      <c r="AV43" s="225"/>
      <c r="AW43" s="248"/>
      <c r="AX43" s="317"/>
      <c r="AY43" s="317"/>
      <c r="AZ43" s="317"/>
      <c r="BA43" s="191"/>
      <c r="BB43" s="317" t="s">
        <v>100</v>
      </c>
      <c r="BC43" s="317" t="s">
        <v>100</v>
      </c>
      <c r="BD43" s="191">
        <v>27</v>
      </c>
      <c r="BE43" s="191" t="s">
        <v>197</v>
      </c>
      <c r="BF43" s="191"/>
      <c r="BG43" s="191"/>
      <c r="BH43" s="191"/>
      <c r="BI43" s="317" t="s">
        <v>100</v>
      </c>
      <c r="BJ43" s="274"/>
      <c r="BK43" s="317"/>
      <c r="BL43" s="317"/>
      <c r="BM43" s="317"/>
      <c r="BN43" s="219"/>
      <c r="BO43" s="184"/>
      <c r="BP43" s="63"/>
      <c r="BQ43" s="63"/>
      <c r="BR43" s="63"/>
      <c r="BS43" s="63"/>
      <c r="BT43" s="63"/>
      <c r="BU43" s="63"/>
      <c r="BV43" s="63"/>
      <c r="BW43" s="63"/>
    </row>
    <row r="44" spans="1:75" s="26" customFormat="1" ht="37.5" customHeight="1">
      <c r="A44" s="321"/>
      <c r="B44" s="322"/>
      <c r="C44" s="322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337"/>
      <c r="P44" s="337"/>
      <c r="Q44" s="246"/>
      <c r="R44" s="246"/>
      <c r="S44" s="191"/>
      <c r="T44" s="191"/>
      <c r="U44" s="337"/>
      <c r="V44" s="191"/>
      <c r="W44" s="337"/>
      <c r="X44" s="337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20"/>
      <c r="AM44" s="120"/>
      <c r="AN44" s="120"/>
      <c r="AO44" s="120"/>
      <c r="AP44" s="120"/>
      <c r="AQ44" s="120"/>
      <c r="AR44" s="191"/>
      <c r="AS44" s="191"/>
      <c r="AT44" s="345"/>
      <c r="AU44" s="226"/>
      <c r="AV44" s="226"/>
      <c r="AW44" s="249"/>
      <c r="AX44" s="337"/>
      <c r="AY44" s="337"/>
      <c r="AZ44" s="337"/>
      <c r="BA44" s="191"/>
      <c r="BB44" s="337"/>
      <c r="BC44" s="337"/>
      <c r="BD44" s="191"/>
      <c r="BE44" s="191"/>
      <c r="BF44" s="191"/>
      <c r="BG44" s="191"/>
      <c r="BH44" s="191"/>
      <c r="BI44" s="337"/>
      <c r="BJ44" s="278"/>
      <c r="BK44" s="337"/>
      <c r="BL44" s="337"/>
      <c r="BM44" s="337"/>
      <c r="BN44" s="224"/>
      <c r="BO44" s="186"/>
      <c r="BP44" s="63"/>
      <c r="BQ44" s="63"/>
      <c r="BR44" s="63"/>
      <c r="BS44" s="63"/>
      <c r="BT44" s="63"/>
      <c r="BU44" s="63"/>
      <c r="BV44" s="63"/>
      <c r="BW44" s="63"/>
    </row>
    <row r="45" spans="1:75" s="26" customFormat="1" ht="25.5" customHeight="1">
      <c r="A45" s="321"/>
      <c r="B45" s="322"/>
      <c r="C45" s="322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337"/>
      <c r="P45" s="337"/>
      <c r="Q45" s="246"/>
      <c r="R45" s="246"/>
      <c r="S45" s="191"/>
      <c r="T45" s="191"/>
      <c r="U45" s="337"/>
      <c r="V45" s="191"/>
      <c r="W45" s="337"/>
      <c r="X45" s="337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345"/>
      <c r="AU45" s="226"/>
      <c r="AV45" s="226"/>
      <c r="AW45" s="249"/>
      <c r="AX45" s="337"/>
      <c r="AY45" s="337"/>
      <c r="AZ45" s="337"/>
      <c r="BA45" s="191"/>
      <c r="BB45" s="337"/>
      <c r="BC45" s="337"/>
      <c r="BD45" s="191"/>
      <c r="BE45" s="191"/>
      <c r="BF45" s="191"/>
      <c r="BG45" s="191"/>
      <c r="BH45" s="191"/>
      <c r="BI45" s="337"/>
      <c r="BJ45" s="278"/>
      <c r="BK45" s="337"/>
      <c r="BL45" s="337"/>
      <c r="BM45" s="337"/>
      <c r="BN45" s="224"/>
      <c r="BO45" s="186"/>
      <c r="BP45" s="63"/>
      <c r="BQ45" s="63"/>
      <c r="BR45" s="63"/>
      <c r="BS45" s="63"/>
      <c r="BT45" s="63"/>
      <c r="BU45" s="63"/>
      <c r="BV45" s="63"/>
      <c r="BW45" s="63"/>
    </row>
    <row r="46" spans="1:75" s="26" customFormat="1" ht="12" customHeight="1">
      <c r="A46" s="320"/>
      <c r="B46" s="314"/>
      <c r="C46" s="314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318"/>
      <c r="P46" s="318"/>
      <c r="Q46" s="236"/>
      <c r="R46" s="236"/>
      <c r="S46" s="191"/>
      <c r="T46" s="191"/>
      <c r="U46" s="318"/>
      <c r="V46" s="191"/>
      <c r="W46" s="318"/>
      <c r="X46" s="318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346"/>
      <c r="AU46" s="227"/>
      <c r="AV46" s="227"/>
      <c r="AW46" s="250"/>
      <c r="AX46" s="318"/>
      <c r="AY46" s="318"/>
      <c r="AZ46" s="318"/>
      <c r="BA46" s="191"/>
      <c r="BB46" s="318"/>
      <c r="BC46" s="318"/>
      <c r="BD46" s="191"/>
      <c r="BE46" s="191"/>
      <c r="BF46" s="191"/>
      <c r="BG46" s="191"/>
      <c r="BH46" s="191"/>
      <c r="BI46" s="318"/>
      <c r="BJ46" s="275"/>
      <c r="BK46" s="318"/>
      <c r="BL46" s="318"/>
      <c r="BM46" s="318"/>
      <c r="BN46" s="220"/>
      <c r="BO46" s="185"/>
      <c r="BP46" s="63"/>
      <c r="BQ46" s="63"/>
      <c r="BR46" s="63"/>
      <c r="BS46" s="63"/>
      <c r="BT46" s="63"/>
      <c r="BU46" s="63"/>
      <c r="BV46" s="63"/>
      <c r="BW46" s="63"/>
    </row>
    <row r="47" spans="1:67" s="44" customFormat="1" ht="12.75">
      <c r="A47" s="327">
        <v>10</v>
      </c>
      <c r="B47" s="329" t="s">
        <v>18</v>
      </c>
      <c r="C47" s="329">
        <v>5098.46</v>
      </c>
      <c r="D47" s="190"/>
      <c r="E47" s="190"/>
      <c r="F47" s="190"/>
      <c r="G47" s="190"/>
      <c r="H47" s="190"/>
      <c r="I47" s="190"/>
      <c r="J47" s="190">
        <v>1</v>
      </c>
      <c r="K47" s="190" t="s">
        <v>178</v>
      </c>
      <c r="L47" s="190"/>
      <c r="M47" s="190"/>
      <c r="N47" s="190"/>
      <c r="O47" s="334" t="s">
        <v>100</v>
      </c>
      <c r="P47" s="334"/>
      <c r="Q47" s="243"/>
      <c r="R47" s="243"/>
      <c r="S47" s="190"/>
      <c r="T47" s="190"/>
      <c r="U47" s="334"/>
      <c r="V47" s="190"/>
      <c r="W47" s="334"/>
      <c r="X47" s="334" t="s">
        <v>100</v>
      </c>
      <c r="Y47" s="190"/>
      <c r="Z47" s="190">
        <v>1734</v>
      </c>
      <c r="AA47" s="190" t="s">
        <v>206</v>
      </c>
      <c r="AB47" s="190"/>
      <c r="AC47" s="190"/>
      <c r="AD47" s="190"/>
      <c r="AE47" s="190"/>
      <c r="AF47" s="190" t="s">
        <v>146</v>
      </c>
      <c r="AG47" s="190">
        <v>10</v>
      </c>
      <c r="AH47" s="190" t="s">
        <v>163</v>
      </c>
      <c r="AI47" s="190" t="s">
        <v>151</v>
      </c>
      <c r="AJ47" s="190">
        <v>4</v>
      </c>
      <c r="AK47" s="190" t="s">
        <v>152</v>
      </c>
      <c r="AL47" s="190"/>
      <c r="AM47" s="190"/>
      <c r="AN47" s="190"/>
      <c r="AO47" s="190" t="s">
        <v>144</v>
      </c>
      <c r="AP47" s="190">
        <v>12</v>
      </c>
      <c r="AQ47" s="190" t="s">
        <v>158</v>
      </c>
      <c r="AR47" s="190"/>
      <c r="AS47" s="190"/>
      <c r="AT47" s="341"/>
      <c r="AU47" s="228"/>
      <c r="AV47" s="228"/>
      <c r="AW47" s="251"/>
      <c r="AX47" s="334"/>
      <c r="AY47" s="334"/>
      <c r="AZ47" s="334" t="s">
        <v>100</v>
      </c>
      <c r="BA47" s="190"/>
      <c r="BB47" s="334" t="s">
        <v>100</v>
      </c>
      <c r="BC47" s="221"/>
      <c r="BD47" s="190"/>
      <c r="BE47" s="190"/>
      <c r="BF47" s="190"/>
      <c r="BG47" s="190"/>
      <c r="BH47" s="190"/>
      <c r="BI47" s="334" t="s">
        <v>100</v>
      </c>
      <c r="BJ47" s="334">
        <v>4</v>
      </c>
      <c r="BK47" s="334">
        <v>1</v>
      </c>
      <c r="BL47" s="334"/>
      <c r="BM47" s="334"/>
      <c r="BN47" s="334" t="s">
        <v>100</v>
      </c>
      <c r="BO47" s="181"/>
    </row>
    <row r="48" spans="1:67" s="44" customFormat="1" ht="12.75">
      <c r="A48" s="328"/>
      <c r="B48" s="330"/>
      <c r="C48" s="33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335"/>
      <c r="P48" s="335"/>
      <c r="Q48" s="244"/>
      <c r="R48" s="244"/>
      <c r="S48" s="190"/>
      <c r="T48" s="190"/>
      <c r="U48" s="335"/>
      <c r="V48" s="190"/>
      <c r="W48" s="335"/>
      <c r="X48" s="335"/>
      <c r="Y48" s="190"/>
      <c r="Z48" s="190"/>
      <c r="AA48" s="190"/>
      <c r="AB48" s="190"/>
      <c r="AC48" s="190"/>
      <c r="AD48" s="190"/>
      <c r="AE48" s="190"/>
      <c r="AF48" s="190" t="s">
        <v>146</v>
      </c>
      <c r="AG48" s="190">
        <v>10</v>
      </c>
      <c r="AH48" s="190" t="s">
        <v>180</v>
      </c>
      <c r="AI48" s="190"/>
      <c r="AJ48" s="190"/>
      <c r="AK48" s="190"/>
      <c r="AL48" s="190"/>
      <c r="AM48" s="190"/>
      <c r="AN48" s="190"/>
      <c r="AO48" s="190" t="s">
        <v>144</v>
      </c>
      <c r="AP48" s="190">
        <v>4</v>
      </c>
      <c r="AQ48" s="190" t="s">
        <v>179</v>
      </c>
      <c r="AR48" s="190"/>
      <c r="AS48" s="190"/>
      <c r="AT48" s="342"/>
      <c r="AU48" s="229"/>
      <c r="AV48" s="229"/>
      <c r="AW48" s="252"/>
      <c r="AX48" s="335"/>
      <c r="AY48" s="335"/>
      <c r="AZ48" s="335"/>
      <c r="BA48" s="190"/>
      <c r="BB48" s="335"/>
      <c r="BC48" s="222"/>
      <c r="BD48" s="190"/>
      <c r="BE48" s="190"/>
      <c r="BF48" s="190"/>
      <c r="BG48" s="190"/>
      <c r="BH48" s="190"/>
      <c r="BI48" s="335"/>
      <c r="BJ48" s="335"/>
      <c r="BK48" s="335"/>
      <c r="BL48" s="335"/>
      <c r="BM48" s="335"/>
      <c r="BN48" s="335"/>
      <c r="BO48" s="182"/>
    </row>
    <row r="49" spans="1:67" s="44" customFormat="1" ht="12.75">
      <c r="A49" s="328"/>
      <c r="B49" s="330"/>
      <c r="C49" s="33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336"/>
      <c r="P49" s="336"/>
      <c r="Q49" s="245"/>
      <c r="R49" s="245"/>
      <c r="S49" s="190"/>
      <c r="T49" s="190"/>
      <c r="U49" s="336"/>
      <c r="V49" s="190"/>
      <c r="W49" s="336"/>
      <c r="X49" s="336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343"/>
      <c r="AU49" s="230"/>
      <c r="AV49" s="230"/>
      <c r="AW49" s="253"/>
      <c r="AX49" s="336"/>
      <c r="AY49" s="336"/>
      <c r="AZ49" s="336"/>
      <c r="BA49" s="190"/>
      <c r="BB49" s="336"/>
      <c r="BC49" s="223"/>
      <c r="BD49" s="190"/>
      <c r="BE49" s="190"/>
      <c r="BF49" s="190"/>
      <c r="BG49" s="190"/>
      <c r="BH49" s="190"/>
      <c r="BI49" s="336"/>
      <c r="BJ49" s="336"/>
      <c r="BK49" s="336"/>
      <c r="BL49" s="336"/>
      <c r="BM49" s="336"/>
      <c r="BN49" s="336"/>
      <c r="BO49" s="183"/>
    </row>
    <row r="50" spans="1:75" s="44" customFormat="1" ht="12" customHeight="1">
      <c r="A50" s="319">
        <v>11</v>
      </c>
      <c r="B50" s="313" t="s">
        <v>19</v>
      </c>
      <c r="C50" s="313">
        <v>3366.3</v>
      </c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317" t="s">
        <v>100</v>
      </c>
      <c r="P50" s="317"/>
      <c r="Q50" s="235"/>
      <c r="R50" s="235"/>
      <c r="S50" s="191"/>
      <c r="T50" s="191"/>
      <c r="U50" s="317"/>
      <c r="V50" s="191"/>
      <c r="W50" s="317"/>
      <c r="X50" s="317" t="s">
        <v>100</v>
      </c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 t="s">
        <v>144</v>
      </c>
      <c r="AP50" s="191">
        <v>4</v>
      </c>
      <c r="AQ50" s="191" t="s">
        <v>158</v>
      </c>
      <c r="AR50" s="191"/>
      <c r="AS50" s="191"/>
      <c r="AT50" s="317">
        <v>0.15</v>
      </c>
      <c r="AU50" s="219"/>
      <c r="AV50" s="219"/>
      <c r="AW50" s="235"/>
      <c r="AX50" s="317"/>
      <c r="AY50" s="317"/>
      <c r="AZ50" s="317"/>
      <c r="BA50" s="191"/>
      <c r="BB50" s="191"/>
      <c r="BC50" s="191"/>
      <c r="BD50" s="191"/>
      <c r="BE50" s="191"/>
      <c r="BF50" s="191"/>
      <c r="BG50" s="191"/>
      <c r="BH50" s="191"/>
      <c r="BI50" s="317" t="s">
        <v>100</v>
      </c>
      <c r="BJ50" s="274"/>
      <c r="BK50" s="317">
        <v>3</v>
      </c>
      <c r="BL50" s="344"/>
      <c r="BM50" s="317"/>
      <c r="BN50" s="219"/>
      <c r="BO50" s="184"/>
      <c r="BP50" s="63"/>
      <c r="BQ50" s="63"/>
      <c r="BR50" s="63"/>
      <c r="BS50" s="63"/>
      <c r="BT50" s="63"/>
      <c r="BU50" s="63"/>
      <c r="BV50" s="63"/>
      <c r="BW50" s="63"/>
    </row>
    <row r="51" spans="1:75" s="44" customFormat="1" ht="12" customHeight="1">
      <c r="A51" s="321"/>
      <c r="B51" s="322"/>
      <c r="C51" s="322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337"/>
      <c r="P51" s="337"/>
      <c r="Q51" s="246"/>
      <c r="R51" s="246"/>
      <c r="S51" s="191"/>
      <c r="T51" s="191"/>
      <c r="U51" s="337"/>
      <c r="V51" s="191"/>
      <c r="W51" s="337"/>
      <c r="X51" s="337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337"/>
      <c r="AU51" s="224"/>
      <c r="AV51" s="224"/>
      <c r="AW51" s="246"/>
      <c r="AX51" s="337"/>
      <c r="AY51" s="337"/>
      <c r="AZ51" s="337"/>
      <c r="BA51" s="191"/>
      <c r="BB51" s="191"/>
      <c r="BC51" s="191"/>
      <c r="BD51" s="191"/>
      <c r="BE51" s="191"/>
      <c r="BF51" s="191"/>
      <c r="BG51" s="191"/>
      <c r="BH51" s="191"/>
      <c r="BI51" s="337"/>
      <c r="BJ51" s="278"/>
      <c r="BK51" s="337"/>
      <c r="BL51" s="345"/>
      <c r="BM51" s="337"/>
      <c r="BN51" s="224"/>
      <c r="BO51" s="186"/>
      <c r="BP51" s="63"/>
      <c r="BQ51" s="63"/>
      <c r="BR51" s="63"/>
      <c r="BS51" s="63"/>
      <c r="BT51" s="63"/>
      <c r="BU51" s="63"/>
      <c r="BV51" s="63"/>
      <c r="BW51" s="63"/>
    </row>
    <row r="52" spans="1:75" s="44" customFormat="1" ht="12" customHeight="1">
      <c r="A52" s="321"/>
      <c r="B52" s="322"/>
      <c r="C52" s="322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337"/>
      <c r="P52" s="337"/>
      <c r="Q52" s="246"/>
      <c r="R52" s="246"/>
      <c r="S52" s="191"/>
      <c r="T52" s="191"/>
      <c r="U52" s="337"/>
      <c r="V52" s="191"/>
      <c r="W52" s="337"/>
      <c r="X52" s="337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337"/>
      <c r="AU52" s="224"/>
      <c r="AV52" s="224"/>
      <c r="AW52" s="246"/>
      <c r="AX52" s="337"/>
      <c r="AY52" s="337"/>
      <c r="AZ52" s="337"/>
      <c r="BA52" s="191"/>
      <c r="BB52" s="191"/>
      <c r="BC52" s="191"/>
      <c r="BD52" s="191"/>
      <c r="BE52" s="191"/>
      <c r="BF52" s="191"/>
      <c r="BG52" s="191"/>
      <c r="BH52" s="191"/>
      <c r="BI52" s="337"/>
      <c r="BJ52" s="278"/>
      <c r="BK52" s="337"/>
      <c r="BL52" s="345"/>
      <c r="BM52" s="337"/>
      <c r="BN52" s="224"/>
      <c r="BO52" s="186"/>
      <c r="BP52" s="63"/>
      <c r="BQ52" s="63"/>
      <c r="BR52" s="63"/>
      <c r="BS52" s="63"/>
      <c r="BT52" s="63"/>
      <c r="BU52" s="63"/>
      <c r="BV52" s="63"/>
      <c r="BW52" s="63"/>
    </row>
    <row r="53" spans="1:75" s="44" customFormat="1" ht="12" customHeight="1">
      <c r="A53" s="320"/>
      <c r="B53" s="314"/>
      <c r="C53" s="314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318"/>
      <c r="P53" s="318"/>
      <c r="Q53" s="236"/>
      <c r="R53" s="236"/>
      <c r="S53" s="191"/>
      <c r="T53" s="191"/>
      <c r="U53" s="318"/>
      <c r="V53" s="191"/>
      <c r="W53" s="318"/>
      <c r="X53" s="318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318"/>
      <c r="AU53" s="220"/>
      <c r="AV53" s="220"/>
      <c r="AW53" s="236"/>
      <c r="AX53" s="318"/>
      <c r="AY53" s="318"/>
      <c r="AZ53" s="318"/>
      <c r="BA53" s="191"/>
      <c r="BB53" s="191"/>
      <c r="BC53" s="191"/>
      <c r="BD53" s="191"/>
      <c r="BE53" s="191"/>
      <c r="BF53" s="191"/>
      <c r="BG53" s="191"/>
      <c r="BH53" s="191"/>
      <c r="BI53" s="318"/>
      <c r="BJ53" s="275"/>
      <c r="BK53" s="318"/>
      <c r="BL53" s="346"/>
      <c r="BM53" s="318"/>
      <c r="BN53" s="220"/>
      <c r="BO53" s="185"/>
      <c r="BP53" s="63"/>
      <c r="BQ53" s="63"/>
      <c r="BR53" s="63"/>
      <c r="BS53" s="63"/>
      <c r="BT53" s="63"/>
      <c r="BU53" s="63"/>
      <c r="BV53" s="63"/>
      <c r="BW53" s="63"/>
    </row>
    <row r="54" spans="1:67" s="26" customFormat="1" ht="26.25" customHeight="1">
      <c r="A54" s="340">
        <v>12</v>
      </c>
      <c r="B54" s="339" t="s">
        <v>20</v>
      </c>
      <c r="C54" s="339">
        <v>4313.6</v>
      </c>
      <c r="D54" s="190"/>
      <c r="E54" s="190"/>
      <c r="F54" s="126" t="s">
        <v>146</v>
      </c>
      <c r="G54" s="126">
        <v>2</v>
      </c>
      <c r="H54" s="190"/>
      <c r="I54" s="190"/>
      <c r="J54" s="190"/>
      <c r="K54" s="190"/>
      <c r="L54" s="190"/>
      <c r="M54" s="190"/>
      <c r="N54" s="190" t="s">
        <v>158</v>
      </c>
      <c r="O54" s="334" t="s">
        <v>100</v>
      </c>
      <c r="P54" s="334"/>
      <c r="Q54" s="126">
        <v>40</v>
      </c>
      <c r="R54" s="126" t="s">
        <v>158</v>
      </c>
      <c r="S54" s="126">
        <v>4</v>
      </c>
      <c r="T54" s="126" t="s">
        <v>207</v>
      </c>
      <c r="U54" s="334"/>
      <c r="V54" s="190"/>
      <c r="W54" s="334"/>
      <c r="X54" s="334" t="s">
        <v>100</v>
      </c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26"/>
      <c r="AP54" s="126"/>
      <c r="AQ54" s="126"/>
      <c r="AR54" s="190"/>
      <c r="AS54" s="190"/>
      <c r="AT54" s="341"/>
      <c r="AU54" s="228"/>
      <c r="AV54" s="228"/>
      <c r="AW54" s="251"/>
      <c r="AX54" s="334"/>
      <c r="AY54" s="334"/>
      <c r="AZ54" s="334"/>
      <c r="BA54" s="190"/>
      <c r="BB54" s="334" t="s">
        <v>100</v>
      </c>
      <c r="BC54" s="221"/>
      <c r="BD54" s="126">
        <v>10</v>
      </c>
      <c r="BE54" s="126" t="s">
        <v>201</v>
      </c>
      <c r="BF54" s="190"/>
      <c r="BG54" s="190"/>
      <c r="BH54" s="190"/>
      <c r="BI54" s="334" t="s">
        <v>100</v>
      </c>
      <c r="BJ54" s="271"/>
      <c r="BK54" s="341"/>
      <c r="BL54" s="341"/>
      <c r="BM54" s="334"/>
      <c r="BN54" s="221"/>
      <c r="BO54" s="181"/>
    </row>
    <row r="55" spans="1:67" s="26" customFormat="1" ht="12" customHeight="1">
      <c r="A55" s="340"/>
      <c r="B55" s="339"/>
      <c r="C55" s="339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335"/>
      <c r="P55" s="335"/>
      <c r="Q55" s="126"/>
      <c r="R55" s="126"/>
      <c r="S55" s="190"/>
      <c r="T55" s="190"/>
      <c r="U55" s="335"/>
      <c r="V55" s="190"/>
      <c r="W55" s="335"/>
      <c r="X55" s="335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342"/>
      <c r="AU55" s="229"/>
      <c r="AV55" s="229"/>
      <c r="AW55" s="252"/>
      <c r="AX55" s="335"/>
      <c r="AY55" s="335"/>
      <c r="AZ55" s="335"/>
      <c r="BA55" s="190"/>
      <c r="BB55" s="335"/>
      <c r="BC55" s="222"/>
      <c r="BD55" s="126"/>
      <c r="BE55" s="126"/>
      <c r="BF55" s="190"/>
      <c r="BG55" s="190"/>
      <c r="BH55" s="190"/>
      <c r="BI55" s="335"/>
      <c r="BJ55" s="276"/>
      <c r="BK55" s="342"/>
      <c r="BL55" s="342"/>
      <c r="BM55" s="335"/>
      <c r="BN55" s="222"/>
      <c r="BO55" s="182"/>
    </row>
    <row r="56" spans="1:67" s="26" customFormat="1" ht="12" customHeight="1">
      <c r="A56" s="340"/>
      <c r="B56" s="339"/>
      <c r="C56" s="339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335"/>
      <c r="P56" s="335"/>
      <c r="Q56" s="126"/>
      <c r="R56" s="126"/>
      <c r="S56" s="190"/>
      <c r="T56" s="190"/>
      <c r="U56" s="335"/>
      <c r="V56" s="190"/>
      <c r="W56" s="335"/>
      <c r="X56" s="335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342"/>
      <c r="AU56" s="229"/>
      <c r="AV56" s="229"/>
      <c r="AW56" s="252"/>
      <c r="AX56" s="335"/>
      <c r="AY56" s="335"/>
      <c r="AZ56" s="335"/>
      <c r="BA56" s="190"/>
      <c r="BB56" s="335"/>
      <c r="BC56" s="222"/>
      <c r="BD56" s="190"/>
      <c r="BE56" s="190"/>
      <c r="BF56" s="190"/>
      <c r="BG56" s="190"/>
      <c r="BH56" s="190"/>
      <c r="BI56" s="335"/>
      <c r="BJ56" s="276"/>
      <c r="BK56" s="342"/>
      <c r="BL56" s="342"/>
      <c r="BM56" s="335"/>
      <c r="BN56" s="222"/>
      <c r="BO56" s="182"/>
    </row>
    <row r="57" spans="1:67" s="26" customFormat="1" ht="12" customHeight="1">
      <c r="A57" s="340"/>
      <c r="B57" s="339"/>
      <c r="C57" s="339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336"/>
      <c r="P57" s="336"/>
      <c r="Q57" s="126"/>
      <c r="R57" s="126"/>
      <c r="S57" s="190"/>
      <c r="T57" s="190"/>
      <c r="U57" s="336"/>
      <c r="V57" s="190"/>
      <c r="W57" s="336"/>
      <c r="X57" s="336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343"/>
      <c r="AU57" s="230"/>
      <c r="AV57" s="230"/>
      <c r="AW57" s="253"/>
      <c r="AX57" s="336"/>
      <c r="AY57" s="336"/>
      <c r="AZ57" s="336"/>
      <c r="BA57" s="190"/>
      <c r="BB57" s="336"/>
      <c r="BC57" s="223"/>
      <c r="BD57" s="190"/>
      <c r="BE57" s="190"/>
      <c r="BF57" s="126"/>
      <c r="BG57" s="190"/>
      <c r="BH57" s="190"/>
      <c r="BI57" s="336"/>
      <c r="BJ57" s="277"/>
      <c r="BK57" s="343"/>
      <c r="BL57" s="343"/>
      <c r="BM57" s="336"/>
      <c r="BN57" s="223"/>
      <c r="BO57" s="183"/>
    </row>
    <row r="58" spans="1:67" s="77" customFormat="1" ht="12.75">
      <c r="A58" s="128">
        <v>13</v>
      </c>
      <c r="B58" s="136" t="s">
        <v>95</v>
      </c>
      <c r="C58" s="136">
        <v>1559.9</v>
      </c>
      <c r="D58" s="191"/>
      <c r="E58" s="191"/>
      <c r="F58" s="191" t="s">
        <v>146</v>
      </c>
      <c r="G58" s="191">
        <v>2</v>
      </c>
      <c r="H58" s="191"/>
      <c r="I58" s="191"/>
      <c r="J58" s="191"/>
      <c r="K58" s="191"/>
      <c r="L58" s="191"/>
      <c r="M58" s="191"/>
      <c r="N58" s="191"/>
      <c r="O58" s="120" t="s">
        <v>100</v>
      </c>
      <c r="P58" s="120"/>
      <c r="Q58" s="120"/>
      <c r="R58" s="120"/>
      <c r="S58" s="191"/>
      <c r="T58" s="191"/>
      <c r="U58" s="120"/>
      <c r="V58" s="191"/>
      <c r="W58" s="120"/>
      <c r="X58" s="120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20"/>
      <c r="AY58" s="120"/>
      <c r="AZ58" s="120"/>
      <c r="BA58" s="191"/>
      <c r="BB58" s="191"/>
      <c r="BC58" s="191"/>
      <c r="BD58" s="191"/>
      <c r="BE58" s="191"/>
      <c r="BF58" s="191"/>
      <c r="BG58" s="191"/>
      <c r="BH58" s="191"/>
      <c r="BI58" s="191" t="s">
        <v>100</v>
      </c>
      <c r="BJ58" s="191">
        <v>2</v>
      </c>
      <c r="BK58" s="191">
        <v>2</v>
      </c>
      <c r="BL58" s="191"/>
      <c r="BM58" s="120"/>
      <c r="BN58" s="120"/>
      <c r="BO58" s="120"/>
    </row>
    <row r="59" spans="1:67" s="26" customFormat="1" ht="12" customHeight="1">
      <c r="A59" s="23">
        <v>13</v>
      </c>
      <c r="B59" s="23" t="s">
        <v>21</v>
      </c>
      <c r="C59" s="23">
        <f>SUM(C4:C57)</f>
        <v>48552.8</v>
      </c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</row>
  </sheetData>
  <sheetProtection/>
  <autoFilter ref="A1:BO59"/>
  <mergeCells count="226">
    <mergeCell ref="BJ14:BJ16"/>
    <mergeCell ref="BJ17:BJ22"/>
    <mergeCell ref="BJ29:BJ32"/>
    <mergeCell ref="BJ47:BJ49"/>
    <mergeCell ref="BN47:BN49"/>
    <mergeCell ref="AF2:AH2"/>
    <mergeCell ref="BB10:BB13"/>
    <mergeCell ref="BC43:BC46"/>
    <mergeCell ref="AY43:AY46"/>
    <mergeCell ref="AY47:AY49"/>
    <mergeCell ref="X29:X32"/>
    <mergeCell ref="X33:X36"/>
    <mergeCell ref="X37:X42"/>
    <mergeCell ref="X43:X46"/>
    <mergeCell ref="X47:X49"/>
    <mergeCell ref="BB37:BB42"/>
    <mergeCell ref="BB43:BB46"/>
    <mergeCell ref="BB47:BB49"/>
    <mergeCell ref="AX43:AX46"/>
    <mergeCell ref="AY33:AY36"/>
    <mergeCell ref="AX10:AX13"/>
    <mergeCell ref="AY54:AY57"/>
    <mergeCell ref="AZ47:AZ49"/>
    <mergeCell ref="X50:X53"/>
    <mergeCell ref="X54:X57"/>
    <mergeCell ref="X4:X9"/>
    <mergeCell ref="X10:X13"/>
    <mergeCell ref="X14:X16"/>
    <mergeCell ref="X17:X22"/>
    <mergeCell ref="X23:X28"/>
    <mergeCell ref="AY17:AY22"/>
    <mergeCell ref="AY23:AY28"/>
    <mergeCell ref="AY29:AY32"/>
    <mergeCell ref="AX14:AX16"/>
    <mergeCell ref="AX23:AX28"/>
    <mergeCell ref="AX29:AX32"/>
    <mergeCell ref="L37:L42"/>
    <mergeCell ref="M37:M42"/>
    <mergeCell ref="V33:V36"/>
    <mergeCell ref="O33:O36"/>
    <mergeCell ref="P33:P36"/>
    <mergeCell ref="W37:W42"/>
    <mergeCell ref="BM37:BM42"/>
    <mergeCell ref="BM43:BM46"/>
    <mergeCell ref="U33:U36"/>
    <mergeCell ref="U37:U42"/>
    <mergeCell ref="U43:U46"/>
    <mergeCell ref="BK33:BK36"/>
    <mergeCell ref="BL33:BL36"/>
    <mergeCell ref="BK37:BK42"/>
    <mergeCell ref="BL37:BL42"/>
    <mergeCell ref="BL43:BL46"/>
    <mergeCell ref="BM47:BM49"/>
    <mergeCell ref="BM50:BM53"/>
    <mergeCell ref="BM54:BM57"/>
    <mergeCell ref="BM4:BM9"/>
    <mergeCell ref="BM10:BM13"/>
    <mergeCell ref="BM14:BM16"/>
    <mergeCell ref="BM17:BM22"/>
    <mergeCell ref="BM23:BM28"/>
    <mergeCell ref="BM29:BM32"/>
    <mergeCell ref="BM33:BM36"/>
    <mergeCell ref="U4:U9"/>
    <mergeCell ref="U10:U13"/>
    <mergeCell ref="U14:U16"/>
    <mergeCell ref="U17:U22"/>
    <mergeCell ref="U23:U28"/>
    <mergeCell ref="U29:U32"/>
    <mergeCell ref="BL47:BL49"/>
    <mergeCell ref="BK50:BK53"/>
    <mergeCell ref="BL50:BL53"/>
    <mergeCell ref="BK54:BK57"/>
    <mergeCell ref="BL54:BL57"/>
    <mergeCell ref="U54:U57"/>
    <mergeCell ref="AX47:AX49"/>
    <mergeCell ref="AX50:AX53"/>
    <mergeCell ref="AX54:AX57"/>
    <mergeCell ref="BB54:BB57"/>
    <mergeCell ref="BK17:BK22"/>
    <mergeCell ref="BL17:BL22"/>
    <mergeCell ref="BK23:BK28"/>
    <mergeCell ref="BL23:BL28"/>
    <mergeCell ref="BK29:BK32"/>
    <mergeCell ref="BL29:BL32"/>
    <mergeCell ref="P29:P32"/>
    <mergeCell ref="P47:P49"/>
    <mergeCell ref="P50:P53"/>
    <mergeCell ref="P54:P57"/>
    <mergeCell ref="H2:I2"/>
    <mergeCell ref="BK4:BK9"/>
    <mergeCell ref="BK10:BK13"/>
    <mergeCell ref="BK14:BK16"/>
    <mergeCell ref="BK43:BK46"/>
    <mergeCell ref="BK47:BK49"/>
    <mergeCell ref="O10:O13"/>
    <mergeCell ref="O14:O16"/>
    <mergeCell ref="O17:O22"/>
    <mergeCell ref="O23:O28"/>
    <mergeCell ref="O29:O32"/>
    <mergeCell ref="P4:P9"/>
    <mergeCell ref="P10:P13"/>
    <mergeCell ref="P14:P16"/>
    <mergeCell ref="P17:P22"/>
    <mergeCell ref="P23:P28"/>
    <mergeCell ref="W47:W49"/>
    <mergeCell ref="U47:U49"/>
    <mergeCell ref="W50:W53"/>
    <mergeCell ref="W54:W57"/>
    <mergeCell ref="O37:O42"/>
    <mergeCell ref="O43:O46"/>
    <mergeCell ref="O47:O49"/>
    <mergeCell ref="O50:O53"/>
    <mergeCell ref="O54:O57"/>
    <mergeCell ref="P37:P42"/>
    <mergeCell ref="P43:P46"/>
    <mergeCell ref="U50:U53"/>
    <mergeCell ref="AZ54:AZ57"/>
    <mergeCell ref="W4:W9"/>
    <mergeCell ref="W10:W13"/>
    <mergeCell ref="W14:W16"/>
    <mergeCell ref="W17:W22"/>
    <mergeCell ref="W23:W28"/>
    <mergeCell ref="W29:W32"/>
    <mergeCell ref="W33:W36"/>
    <mergeCell ref="W43:W46"/>
    <mergeCell ref="AZ29:AZ32"/>
    <mergeCell ref="AZ33:AZ36"/>
    <mergeCell ref="AZ37:AZ42"/>
    <mergeCell ref="AZ43:AZ46"/>
    <mergeCell ref="AZ17:AZ22"/>
    <mergeCell ref="AT33:AT36"/>
    <mergeCell ref="AT37:AT42"/>
    <mergeCell ref="AT43:AT46"/>
    <mergeCell ref="AX33:AX36"/>
    <mergeCell ref="AZ10:AZ13"/>
    <mergeCell ref="AZ14:AZ16"/>
    <mergeCell ref="AZ23:AZ28"/>
    <mergeCell ref="AT4:AT9"/>
    <mergeCell ref="AT10:AT13"/>
    <mergeCell ref="AT14:AT16"/>
    <mergeCell ref="AX17:AX22"/>
    <mergeCell ref="AT17:AT22"/>
    <mergeCell ref="AY10:AY13"/>
    <mergeCell ref="AY14:AY16"/>
    <mergeCell ref="AT47:AT49"/>
    <mergeCell ref="AT50:AT53"/>
    <mergeCell ref="AZ50:AZ53"/>
    <mergeCell ref="AY50:AY53"/>
    <mergeCell ref="AT54:AT57"/>
    <mergeCell ref="AT29:AT32"/>
    <mergeCell ref="AX37:AX42"/>
    <mergeCell ref="AY37:AY42"/>
    <mergeCell ref="A10:A13"/>
    <mergeCell ref="A14:A16"/>
    <mergeCell ref="B4:B9"/>
    <mergeCell ref="C54:C57"/>
    <mergeCell ref="B54:B57"/>
    <mergeCell ref="A54:A57"/>
    <mergeCell ref="C29:C32"/>
    <mergeCell ref="B47:B49"/>
    <mergeCell ref="B37:B42"/>
    <mergeCell ref="A4:A9"/>
    <mergeCell ref="B29:B32"/>
    <mergeCell ref="A29:A32"/>
    <mergeCell ref="B17:B22"/>
    <mergeCell ref="A17:A22"/>
    <mergeCell ref="A23:A28"/>
    <mergeCell ref="B23:B28"/>
    <mergeCell ref="C43:C46"/>
    <mergeCell ref="A33:A36"/>
    <mergeCell ref="B33:B36"/>
    <mergeCell ref="C17:C22"/>
    <mergeCell ref="C23:C28"/>
    <mergeCell ref="A50:A53"/>
    <mergeCell ref="B50:B53"/>
    <mergeCell ref="C47:C49"/>
    <mergeCell ref="C50:C53"/>
    <mergeCell ref="C37:C42"/>
    <mergeCell ref="C4:C9"/>
    <mergeCell ref="B10:B13"/>
    <mergeCell ref="B14:B16"/>
    <mergeCell ref="C10:C13"/>
    <mergeCell ref="A47:A49"/>
    <mergeCell ref="C14:C16"/>
    <mergeCell ref="A43:A46"/>
    <mergeCell ref="A37:A42"/>
    <mergeCell ref="B43:B46"/>
    <mergeCell ref="C33:C36"/>
    <mergeCell ref="F2:G2"/>
    <mergeCell ref="D2:E2"/>
    <mergeCell ref="S2:T2"/>
    <mergeCell ref="Z2:AA2"/>
    <mergeCell ref="AB2:AC2"/>
    <mergeCell ref="AI2:AK2"/>
    <mergeCell ref="J2:K2"/>
    <mergeCell ref="AD2:AE2"/>
    <mergeCell ref="O4:O9"/>
    <mergeCell ref="BG2:BH2"/>
    <mergeCell ref="AL2:AN2"/>
    <mergeCell ref="AO2:AQ2"/>
    <mergeCell ref="AR2:AS2"/>
    <mergeCell ref="BD2:BE2"/>
    <mergeCell ref="AX4:AX9"/>
    <mergeCell ref="AY4:AY9"/>
    <mergeCell ref="AU2:AV2"/>
    <mergeCell ref="AZ4:AZ9"/>
    <mergeCell ref="BI4:BI9"/>
    <mergeCell ref="BI10:BI13"/>
    <mergeCell ref="BI14:BI16"/>
    <mergeCell ref="BI17:BI22"/>
    <mergeCell ref="BI23:BI28"/>
    <mergeCell ref="BO10:BO13"/>
    <mergeCell ref="BL4:BL9"/>
    <mergeCell ref="BL10:BL13"/>
    <mergeCell ref="BL14:BL16"/>
    <mergeCell ref="BJ4:BJ9"/>
    <mergeCell ref="BI54:BI57"/>
    <mergeCell ref="BN33:BN36"/>
    <mergeCell ref="Q2:R2"/>
    <mergeCell ref="BI29:BI32"/>
    <mergeCell ref="BI33:BI36"/>
    <mergeCell ref="BI37:BI42"/>
    <mergeCell ref="BI43:BI46"/>
    <mergeCell ref="BI47:BI49"/>
    <mergeCell ref="BI50:BI53"/>
    <mergeCell ref="AW23:AW28"/>
  </mergeCells>
  <printOptions/>
  <pageMargins left="0.17" right="0.17" top="0.3937007874015748" bottom="0.3937007874015748" header="0" footer="0"/>
  <pageSetup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BR62"/>
  <sheetViews>
    <sheetView zoomScale="70" zoomScaleNormal="70" zoomScalePageLayoutView="0" workbookViewId="0" topLeftCell="A1">
      <pane xSplit="3" ySplit="3" topLeftCell="A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M1" sqref="BM1:BM16384"/>
    </sheetView>
  </sheetViews>
  <sheetFormatPr defaultColWidth="9.140625" defaultRowHeight="12.75"/>
  <cols>
    <col min="1" max="1" width="6.28125" style="27" customWidth="1"/>
    <col min="2" max="2" width="19.7109375" style="67" customWidth="1"/>
    <col min="3" max="3" width="9.140625" style="26" customWidth="1"/>
    <col min="4" max="17" width="9.421875" style="26" customWidth="1"/>
    <col min="18" max="18" width="9.57421875" style="26" customWidth="1"/>
    <col min="19" max="19" width="11.421875" style="26" hidden="1" customWidth="1"/>
    <col min="20" max="28" width="8.28125" style="26" hidden="1" customWidth="1"/>
    <col min="29" max="30" width="10.57421875" style="26" customWidth="1"/>
    <col min="31" max="31" width="9.00390625" style="26" customWidth="1"/>
    <col min="32" max="35" width="8.140625" style="26" customWidth="1"/>
    <col min="36" max="36" width="8.140625" style="26" hidden="1" customWidth="1"/>
    <col min="37" max="37" width="6.8515625" style="26" hidden="1" customWidth="1"/>
    <col min="38" max="38" width="9.140625" style="26" hidden="1" customWidth="1"/>
    <col min="39" max="39" width="9.421875" style="26" customWidth="1"/>
    <col min="40" max="40" width="7.7109375" style="26" customWidth="1"/>
    <col min="41" max="41" width="8.421875" style="26" customWidth="1"/>
    <col min="42" max="42" width="8.8515625" style="26" customWidth="1"/>
    <col min="43" max="43" width="6.8515625" style="26" customWidth="1"/>
    <col min="44" max="44" width="11.00390625" style="26" customWidth="1"/>
    <col min="45" max="45" width="9.140625" style="26" hidden="1" customWidth="1"/>
    <col min="46" max="46" width="7.28125" style="26" hidden="1" customWidth="1"/>
    <col min="47" max="47" width="13.28125" style="26" hidden="1" customWidth="1"/>
    <col min="48" max="48" width="10.140625" style="26" customWidth="1"/>
    <col min="49" max="49" width="7.00390625" style="26" customWidth="1"/>
    <col min="50" max="51" width="11.140625" style="26" hidden="1" customWidth="1"/>
    <col min="52" max="52" width="8.28125" style="26" hidden="1" customWidth="1"/>
    <col min="53" max="53" width="9.7109375" style="27" hidden="1" customWidth="1"/>
    <col min="54" max="55" width="9.7109375" style="27" customWidth="1"/>
    <col min="56" max="56" width="7.7109375" style="27" customWidth="1"/>
    <col min="57" max="57" width="10.421875" style="26" customWidth="1"/>
    <col min="58" max="58" width="7.00390625" style="26" hidden="1" customWidth="1"/>
    <col min="59" max="60" width="8.28125" style="27" hidden="1" customWidth="1"/>
    <col min="61" max="61" width="14.7109375" style="27" customWidth="1"/>
    <col min="62" max="62" width="10.28125" style="27" customWidth="1"/>
    <col min="63" max="64" width="9.140625" style="27" customWidth="1"/>
    <col min="65" max="65" width="10.8515625" style="27" hidden="1" customWidth="1"/>
  </cols>
  <sheetData>
    <row r="1" spans="1:65" ht="15" customHeight="1">
      <c r="A1" s="1"/>
      <c r="B1" s="6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5"/>
      <c r="BB1" s="35"/>
      <c r="BC1" s="35"/>
      <c r="BD1" s="35"/>
      <c r="BE1" s="2"/>
      <c r="BF1" s="2"/>
      <c r="BG1" s="35"/>
      <c r="BH1" s="35"/>
      <c r="BI1" s="35"/>
      <c r="BJ1" s="35"/>
      <c r="BK1" s="35"/>
      <c r="BL1" s="35"/>
      <c r="BM1" s="35"/>
    </row>
    <row r="2" spans="1:65" ht="78.75" customHeight="1">
      <c r="A2" s="38" t="s">
        <v>0</v>
      </c>
      <c r="B2" s="41" t="s">
        <v>1</v>
      </c>
      <c r="C2" s="38" t="s">
        <v>2</v>
      </c>
      <c r="D2" s="315" t="s">
        <v>55</v>
      </c>
      <c r="E2" s="316"/>
      <c r="F2" s="348" t="s">
        <v>122</v>
      </c>
      <c r="G2" s="348"/>
      <c r="H2" s="172" t="s">
        <v>125</v>
      </c>
      <c r="I2" s="348" t="s">
        <v>173</v>
      </c>
      <c r="J2" s="348"/>
      <c r="K2" s="38" t="s">
        <v>56</v>
      </c>
      <c r="L2" s="315" t="s">
        <v>188</v>
      </c>
      <c r="M2" s="316"/>
      <c r="N2" s="315" t="s">
        <v>107</v>
      </c>
      <c r="O2" s="316"/>
      <c r="P2" s="315" t="s">
        <v>220</v>
      </c>
      <c r="Q2" s="316"/>
      <c r="R2" s="42" t="s">
        <v>58</v>
      </c>
      <c r="S2" s="42" t="s">
        <v>102</v>
      </c>
      <c r="T2" s="315" t="s">
        <v>116</v>
      </c>
      <c r="U2" s="316"/>
      <c r="V2" s="315" t="s">
        <v>133</v>
      </c>
      <c r="W2" s="316"/>
      <c r="X2" s="315" t="s">
        <v>134</v>
      </c>
      <c r="Y2" s="316"/>
      <c r="Z2" s="315" t="s">
        <v>103</v>
      </c>
      <c r="AA2" s="316"/>
      <c r="AB2" s="38" t="s">
        <v>104</v>
      </c>
      <c r="AC2" s="42" t="s">
        <v>161</v>
      </c>
      <c r="AD2" s="42" t="s">
        <v>160</v>
      </c>
      <c r="AE2" s="315" t="s">
        <v>59</v>
      </c>
      <c r="AF2" s="316"/>
      <c r="AG2" s="315" t="s">
        <v>60</v>
      </c>
      <c r="AH2" s="333"/>
      <c r="AI2" s="316"/>
      <c r="AJ2" s="315" t="s">
        <v>108</v>
      </c>
      <c r="AK2" s="333"/>
      <c r="AL2" s="316"/>
      <c r="AM2" s="315" t="s">
        <v>61</v>
      </c>
      <c r="AN2" s="333"/>
      <c r="AO2" s="316"/>
      <c r="AP2" s="315" t="s">
        <v>62</v>
      </c>
      <c r="AQ2" s="333"/>
      <c r="AR2" s="316"/>
      <c r="AS2" s="315" t="s">
        <v>109</v>
      </c>
      <c r="AT2" s="316"/>
      <c r="AU2" s="38" t="s">
        <v>110</v>
      </c>
      <c r="AV2" s="315" t="s">
        <v>140</v>
      </c>
      <c r="AW2" s="316"/>
      <c r="AX2" s="42" t="s">
        <v>111</v>
      </c>
      <c r="AY2" s="38" t="s">
        <v>112</v>
      </c>
      <c r="AZ2" s="38" t="s">
        <v>94</v>
      </c>
      <c r="BA2" s="38" t="s">
        <v>57</v>
      </c>
      <c r="BB2" s="42" t="s">
        <v>139</v>
      </c>
      <c r="BC2" s="42" t="s">
        <v>154</v>
      </c>
      <c r="BD2" s="315" t="s">
        <v>98</v>
      </c>
      <c r="BE2" s="316"/>
      <c r="BF2" s="315" t="s">
        <v>113</v>
      </c>
      <c r="BG2" s="316"/>
      <c r="BH2" s="172" t="s">
        <v>120</v>
      </c>
      <c r="BI2" s="38" t="s">
        <v>212</v>
      </c>
      <c r="BJ2" s="138" t="s">
        <v>221</v>
      </c>
      <c r="BK2" s="138" t="s">
        <v>219</v>
      </c>
      <c r="BL2" s="138" t="s">
        <v>217</v>
      </c>
      <c r="BM2" s="138" t="s">
        <v>126</v>
      </c>
    </row>
    <row r="3" spans="1:65" ht="20.25">
      <c r="A3" s="39"/>
      <c r="B3" s="119" t="s">
        <v>22</v>
      </c>
      <c r="C3" s="40"/>
      <c r="D3" s="38" t="s">
        <v>63</v>
      </c>
      <c r="E3" s="38" t="s">
        <v>77</v>
      </c>
      <c r="F3" s="38" t="s">
        <v>63</v>
      </c>
      <c r="G3" s="38" t="s">
        <v>77</v>
      </c>
      <c r="H3" s="38" t="s">
        <v>77</v>
      </c>
      <c r="I3" s="38" t="s">
        <v>77</v>
      </c>
      <c r="J3" s="38" t="s">
        <v>86</v>
      </c>
      <c r="K3" s="38" t="s">
        <v>86</v>
      </c>
      <c r="L3" s="38" t="s">
        <v>77</v>
      </c>
      <c r="M3" s="38" t="s">
        <v>86</v>
      </c>
      <c r="N3" s="38" t="s">
        <v>96</v>
      </c>
      <c r="O3" s="38" t="s">
        <v>90</v>
      </c>
      <c r="P3" s="38" t="s">
        <v>96</v>
      </c>
      <c r="Q3" s="38" t="s">
        <v>86</v>
      </c>
      <c r="R3" s="38"/>
      <c r="S3" s="38"/>
      <c r="T3" s="38" t="s">
        <v>77</v>
      </c>
      <c r="U3" s="38" t="s">
        <v>86</v>
      </c>
      <c r="V3" s="38" t="s">
        <v>77</v>
      </c>
      <c r="W3" s="38" t="s">
        <v>86</v>
      </c>
      <c r="X3" s="38" t="s">
        <v>77</v>
      </c>
      <c r="Y3" s="38" t="s">
        <v>86</v>
      </c>
      <c r="Z3" s="38" t="s">
        <v>77</v>
      </c>
      <c r="AA3" s="38" t="s">
        <v>86</v>
      </c>
      <c r="AB3" s="38"/>
      <c r="AC3" s="38"/>
      <c r="AD3" s="38"/>
      <c r="AE3" s="38" t="s">
        <v>64</v>
      </c>
      <c r="AF3" s="38" t="s">
        <v>77</v>
      </c>
      <c r="AG3" s="38" t="s">
        <v>63</v>
      </c>
      <c r="AH3" s="38" t="s">
        <v>65</v>
      </c>
      <c r="AI3" s="38" t="s">
        <v>86</v>
      </c>
      <c r="AJ3" s="38" t="s">
        <v>63</v>
      </c>
      <c r="AK3" s="38" t="s">
        <v>65</v>
      </c>
      <c r="AL3" s="38" t="s">
        <v>90</v>
      </c>
      <c r="AM3" s="38" t="s">
        <v>63</v>
      </c>
      <c r="AN3" s="38" t="s">
        <v>65</v>
      </c>
      <c r="AO3" s="38" t="s">
        <v>90</v>
      </c>
      <c r="AP3" s="38" t="s">
        <v>63</v>
      </c>
      <c r="AQ3" s="38" t="s">
        <v>65</v>
      </c>
      <c r="AR3" s="38" t="s">
        <v>90</v>
      </c>
      <c r="AS3" s="38" t="s">
        <v>90</v>
      </c>
      <c r="AT3" s="38" t="s">
        <v>65</v>
      </c>
      <c r="AU3" s="38" t="s">
        <v>76</v>
      </c>
      <c r="AV3" s="38" t="s">
        <v>90</v>
      </c>
      <c r="AW3" s="38" t="s">
        <v>77</v>
      </c>
      <c r="AX3" s="38"/>
      <c r="AY3" s="38"/>
      <c r="AZ3" s="38"/>
      <c r="BA3" s="38"/>
      <c r="BB3" s="38"/>
      <c r="BC3" s="38"/>
      <c r="BD3" s="38" t="s">
        <v>65</v>
      </c>
      <c r="BE3" s="38" t="s">
        <v>90</v>
      </c>
      <c r="BF3" s="38" t="s">
        <v>76</v>
      </c>
      <c r="BG3" s="38" t="s">
        <v>86</v>
      </c>
      <c r="BH3" s="38" t="s">
        <v>86</v>
      </c>
      <c r="BI3" s="38"/>
      <c r="BJ3" s="137" t="s">
        <v>77</v>
      </c>
      <c r="BK3" s="137" t="s">
        <v>77</v>
      </c>
      <c r="BL3" s="137"/>
      <c r="BM3" s="137" t="s">
        <v>77</v>
      </c>
    </row>
    <row r="4" spans="1:65" s="26" customFormat="1" ht="12.75">
      <c r="A4" s="329">
        <v>1</v>
      </c>
      <c r="B4" s="325" t="s">
        <v>23</v>
      </c>
      <c r="C4" s="329">
        <v>4140.6</v>
      </c>
      <c r="D4" s="126" t="s">
        <v>149</v>
      </c>
      <c r="E4" s="126">
        <v>2</v>
      </c>
      <c r="F4" s="126"/>
      <c r="G4" s="126"/>
      <c r="H4" s="126"/>
      <c r="I4" s="126">
        <v>1</v>
      </c>
      <c r="J4" s="126" t="s">
        <v>174</v>
      </c>
      <c r="K4" s="126"/>
      <c r="L4" s="126"/>
      <c r="M4" s="126"/>
      <c r="N4" s="126"/>
      <c r="O4" s="126"/>
      <c r="P4" s="126"/>
      <c r="Q4" s="126"/>
      <c r="R4" s="334" t="s">
        <v>100</v>
      </c>
      <c r="S4" s="334"/>
      <c r="T4" s="126"/>
      <c r="U4" s="126"/>
      <c r="V4" s="126"/>
      <c r="W4" s="126"/>
      <c r="X4" s="126"/>
      <c r="Y4" s="126"/>
      <c r="Z4" s="126"/>
      <c r="AA4" s="126"/>
      <c r="AB4" s="334"/>
      <c r="AC4" s="334"/>
      <c r="AD4" s="334" t="s">
        <v>100</v>
      </c>
      <c r="AE4" s="126"/>
      <c r="AF4" s="126"/>
      <c r="AG4" s="126" t="s">
        <v>164</v>
      </c>
      <c r="AH4" s="126">
        <v>5</v>
      </c>
      <c r="AI4" s="126" t="s">
        <v>152</v>
      </c>
      <c r="AJ4" s="126"/>
      <c r="AK4" s="126"/>
      <c r="AL4" s="126"/>
      <c r="AM4" s="126" t="s">
        <v>151</v>
      </c>
      <c r="AN4" s="126">
        <v>12</v>
      </c>
      <c r="AO4" s="126" t="s">
        <v>152</v>
      </c>
      <c r="AP4" s="126"/>
      <c r="AQ4" s="126"/>
      <c r="AR4" s="126"/>
      <c r="AS4" s="126"/>
      <c r="AT4" s="126"/>
      <c r="AU4" s="334"/>
      <c r="AV4" s="334" t="s">
        <v>141</v>
      </c>
      <c r="AW4" s="334">
        <v>1</v>
      </c>
      <c r="AX4" s="334"/>
      <c r="AY4" s="334"/>
      <c r="AZ4" s="334"/>
      <c r="BA4" s="189"/>
      <c r="BB4" s="189"/>
      <c r="BC4" s="189"/>
      <c r="BD4" s="126"/>
      <c r="BE4" s="126"/>
      <c r="BF4" s="126"/>
      <c r="BG4" s="126"/>
      <c r="BH4" s="126"/>
      <c r="BI4" s="334" t="s">
        <v>100</v>
      </c>
      <c r="BJ4" s="334">
        <v>1</v>
      </c>
      <c r="BK4" s="334"/>
      <c r="BL4" s="334"/>
      <c r="BM4" s="334"/>
    </row>
    <row r="5" spans="1:65" s="26" customFormat="1" ht="20.25">
      <c r="A5" s="330"/>
      <c r="B5" s="326"/>
      <c r="C5" s="330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335"/>
      <c r="S5" s="335"/>
      <c r="T5" s="126"/>
      <c r="U5" s="126"/>
      <c r="V5" s="126"/>
      <c r="W5" s="126"/>
      <c r="X5" s="126"/>
      <c r="Y5" s="126"/>
      <c r="Z5" s="126"/>
      <c r="AA5" s="126"/>
      <c r="AB5" s="335"/>
      <c r="AC5" s="335"/>
      <c r="AD5" s="335"/>
      <c r="AE5" s="126"/>
      <c r="AF5" s="126"/>
      <c r="AG5" s="126" t="s">
        <v>149</v>
      </c>
      <c r="AH5" s="126">
        <v>10</v>
      </c>
      <c r="AI5" s="126" t="s">
        <v>152</v>
      </c>
      <c r="AJ5" s="126"/>
      <c r="AK5" s="126"/>
      <c r="AL5" s="126"/>
      <c r="AM5" s="126" t="s">
        <v>151</v>
      </c>
      <c r="AN5" s="126">
        <v>36</v>
      </c>
      <c r="AO5" s="126" t="s">
        <v>182</v>
      </c>
      <c r="AP5" s="126"/>
      <c r="AQ5" s="126"/>
      <c r="AR5" s="126"/>
      <c r="AS5" s="126"/>
      <c r="AT5" s="126"/>
      <c r="AU5" s="335"/>
      <c r="AV5" s="335"/>
      <c r="AW5" s="335"/>
      <c r="AX5" s="335"/>
      <c r="AY5" s="335"/>
      <c r="AZ5" s="335"/>
      <c r="BA5" s="189"/>
      <c r="BB5" s="189"/>
      <c r="BC5" s="189"/>
      <c r="BD5" s="126"/>
      <c r="BE5" s="126"/>
      <c r="BF5" s="126"/>
      <c r="BG5" s="126"/>
      <c r="BH5" s="126"/>
      <c r="BI5" s="335"/>
      <c r="BJ5" s="335"/>
      <c r="BK5" s="335"/>
      <c r="BL5" s="335"/>
      <c r="BM5" s="335"/>
    </row>
    <row r="6" spans="1:65" s="26" customFormat="1" ht="12.75">
      <c r="A6" s="330"/>
      <c r="B6" s="326"/>
      <c r="C6" s="330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336"/>
      <c r="S6" s="336"/>
      <c r="T6" s="126"/>
      <c r="U6" s="126"/>
      <c r="V6" s="126"/>
      <c r="W6" s="126"/>
      <c r="X6" s="126"/>
      <c r="Y6" s="126"/>
      <c r="Z6" s="126"/>
      <c r="AA6" s="126"/>
      <c r="AB6" s="336"/>
      <c r="AC6" s="336"/>
      <c r="AD6" s="33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336"/>
      <c r="AV6" s="336"/>
      <c r="AW6" s="336"/>
      <c r="AX6" s="336"/>
      <c r="AY6" s="336"/>
      <c r="AZ6" s="336"/>
      <c r="BA6" s="189"/>
      <c r="BB6" s="189"/>
      <c r="BC6" s="189"/>
      <c r="BD6" s="126"/>
      <c r="BE6" s="126"/>
      <c r="BF6" s="126"/>
      <c r="BG6" s="126"/>
      <c r="BH6" s="126"/>
      <c r="BI6" s="336"/>
      <c r="BJ6" s="336"/>
      <c r="BK6" s="336"/>
      <c r="BL6" s="336"/>
      <c r="BM6" s="336"/>
    </row>
    <row r="7" spans="1:65" s="44" customFormat="1" ht="21">
      <c r="A7" s="313">
        <v>2</v>
      </c>
      <c r="B7" s="323" t="s">
        <v>24</v>
      </c>
      <c r="C7" s="313">
        <v>4069.93</v>
      </c>
      <c r="D7" s="120"/>
      <c r="E7" s="120"/>
      <c r="F7" s="120"/>
      <c r="G7" s="120"/>
      <c r="H7" s="120"/>
      <c r="I7" s="120"/>
      <c r="J7" s="120"/>
      <c r="K7" s="120" t="s">
        <v>206</v>
      </c>
      <c r="L7" s="120"/>
      <c r="M7" s="120"/>
      <c r="N7" s="120"/>
      <c r="O7" s="120"/>
      <c r="P7" s="120"/>
      <c r="Q7" s="120"/>
      <c r="R7" s="317" t="s">
        <v>100</v>
      </c>
      <c r="S7" s="317"/>
      <c r="T7" s="120"/>
      <c r="U7" s="120"/>
      <c r="V7" s="120"/>
      <c r="W7" s="120"/>
      <c r="X7" s="120"/>
      <c r="Y7" s="120"/>
      <c r="Z7" s="120"/>
      <c r="AA7" s="120"/>
      <c r="AB7" s="317"/>
      <c r="AC7" s="317"/>
      <c r="AD7" s="317" t="s">
        <v>100</v>
      </c>
      <c r="AE7" s="120" t="s">
        <v>151</v>
      </c>
      <c r="AF7" s="120">
        <v>32</v>
      </c>
      <c r="AG7" s="120" t="s">
        <v>149</v>
      </c>
      <c r="AH7" s="120">
        <v>3</v>
      </c>
      <c r="AI7" s="120" t="s">
        <v>186</v>
      </c>
      <c r="AJ7" s="120"/>
      <c r="AK7" s="120"/>
      <c r="AL7" s="120"/>
      <c r="AM7" s="120" t="s">
        <v>151</v>
      </c>
      <c r="AN7" s="120">
        <v>24</v>
      </c>
      <c r="AO7" s="191" t="s">
        <v>192</v>
      </c>
      <c r="AP7" s="120" t="s">
        <v>144</v>
      </c>
      <c r="AQ7" s="120">
        <v>8</v>
      </c>
      <c r="AR7" s="120" t="s">
        <v>167</v>
      </c>
      <c r="AS7" s="120"/>
      <c r="AT7" s="120"/>
      <c r="AU7" s="317"/>
      <c r="AV7" s="219"/>
      <c r="AW7" s="219"/>
      <c r="AX7" s="317"/>
      <c r="AY7" s="317"/>
      <c r="AZ7" s="317"/>
      <c r="BA7" s="120"/>
      <c r="BB7" s="120"/>
      <c r="BC7" s="120"/>
      <c r="BD7" s="120"/>
      <c r="BE7" s="120"/>
      <c r="BF7" s="120"/>
      <c r="BG7" s="120"/>
      <c r="BH7" s="120"/>
      <c r="BI7" s="317" t="s">
        <v>100</v>
      </c>
      <c r="BJ7" s="274"/>
      <c r="BK7" s="317"/>
      <c r="BL7" s="317"/>
      <c r="BM7" s="317"/>
    </row>
    <row r="8" spans="1:65" s="44" customFormat="1" ht="12" customHeight="1">
      <c r="A8" s="322"/>
      <c r="B8" s="324"/>
      <c r="C8" s="322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337"/>
      <c r="S8" s="337"/>
      <c r="T8" s="120"/>
      <c r="U8" s="120"/>
      <c r="V8" s="120"/>
      <c r="W8" s="120"/>
      <c r="X8" s="120"/>
      <c r="Y8" s="120"/>
      <c r="Z8" s="120"/>
      <c r="AA8" s="120"/>
      <c r="AB8" s="337"/>
      <c r="AC8" s="337"/>
      <c r="AD8" s="337"/>
      <c r="AE8" s="120" t="s">
        <v>151</v>
      </c>
      <c r="AF8" s="120">
        <v>3</v>
      </c>
      <c r="AG8" s="120"/>
      <c r="AH8" s="120"/>
      <c r="AI8" s="120"/>
      <c r="AJ8" s="120"/>
      <c r="AK8" s="120"/>
      <c r="AL8" s="120"/>
      <c r="AM8" s="120"/>
      <c r="AN8" s="120"/>
      <c r="AO8" s="191"/>
      <c r="AP8" s="120" t="s">
        <v>144</v>
      </c>
      <c r="AQ8" s="120">
        <v>8</v>
      </c>
      <c r="AR8" s="120" t="s">
        <v>183</v>
      </c>
      <c r="AS8" s="120"/>
      <c r="AT8" s="120"/>
      <c r="AU8" s="337"/>
      <c r="AV8" s="224"/>
      <c r="AW8" s="224"/>
      <c r="AX8" s="337"/>
      <c r="AY8" s="337"/>
      <c r="AZ8" s="337"/>
      <c r="BA8" s="120"/>
      <c r="BB8" s="120"/>
      <c r="BC8" s="120"/>
      <c r="BD8" s="120"/>
      <c r="BE8" s="120"/>
      <c r="BF8" s="120"/>
      <c r="BG8" s="120"/>
      <c r="BH8" s="120"/>
      <c r="BI8" s="337"/>
      <c r="BJ8" s="278"/>
      <c r="BK8" s="337"/>
      <c r="BL8" s="337"/>
      <c r="BM8" s="337"/>
    </row>
    <row r="9" spans="1:65" s="44" customFormat="1" ht="23.25" customHeight="1">
      <c r="A9" s="322"/>
      <c r="B9" s="324"/>
      <c r="C9" s="322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318"/>
      <c r="S9" s="318"/>
      <c r="T9" s="120"/>
      <c r="U9" s="120"/>
      <c r="V9" s="120"/>
      <c r="W9" s="120"/>
      <c r="X9" s="120"/>
      <c r="Y9" s="120"/>
      <c r="Z9" s="120"/>
      <c r="AA9" s="120"/>
      <c r="AB9" s="318"/>
      <c r="AC9" s="318"/>
      <c r="AD9" s="318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91"/>
      <c r="AP9" s="120" t="s">
        <v>144</v>
      </c>
      <c r="AQ9" s="120">
        <v>11</v>
      </c>
      <c r="AR9" s="120" t="s">
        <v>192</v>
      </c>
      <c r="AS9" s="120"/>
      <c r="AT9" s="120"/>
      <c r="AU9" s="318"/>
      <c r="AV9" s="220"/>
      <c r="AW9" s="220"/>
      <c r="AX9" s="318"/>
      <c r="AY9" s="318"/>
      <c r="AZ9" s="318"/>
      <c r="BA9" s="120"/>
      <c r="BB9" s="120"/>
      <c r="BC9" s="120"/>
      <c r="BD9" s="120"/>
      <c r="BE9" s="120"/>
      <c r="BF9" s="120"/>
      <c r="BG9" s="120"/>
      <c r="BH9" s="120"/>
      <c r="BI9" s="318"/>
      <c r="BJ9" s="275"/>
      <c r="BK9" s="318"/>
      <c r="BL9" s="318"/>
      <c r="BM9" s="318"/>
    </row>
    <row r="10" spans="1:65" s="26" customFormat="1" ht="22.5" customHeight="1">
      <c r="A10" s="329">
        <v>3</v>
      </c>
      <c r="B10" s="325" t="s">
        <v>25</v>
      </c>
      <c r="C10" s="329">
        <v>1758.38</v>
      </c>
      <c r="D10" s="126" t="s">
        <v>149</v>
      </c>
      <c r="E10" s="126">
        <v>3</v>
      </c>
      <c r="F10" s="126"/>
      <c r="G10" s="126"/>
      <c r="H10" s="126"/>
      <c r="I10" s="126"/>
      <c r="J10" s="126"/>
      <c r="K10" s="126"/>
      <c r="L10" s="126"/>
      <c r="M10" s="126"/>
      <c r="N10" s="126">
        <v>10</v>
      </c>
      <c r="O10" s="126" t="s">
        <v>157</v>
      </c>
      <c r="P10" s="126">
        <v>152</v>
      </c>
      <c r="Q10" s="126" t="s">
        <v>152</v>
      </c>
      <c r="R10" s="334" t="s">
        <v>100</v>
      </c>
      <c r="S10" s="334"/>
      <c r="T10" s="126"/>
      <c r="U10" s="126"/>
      <c r="V10" s="126"/>
      <c r="W10" s="126"/>
      <c r="X10" s="126"/>
      <c r="Y10" s="126"/>
      <c r="Z10" s="126"/>
      <c r="AA10" s="126"/>
      <c r="AB10" s="334"/>
      <c r="AC10" s="334"/>
      <c r="AD10" s="334" t="s">
        <v>100</v>
      </c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90"/>
      <c r="AP10" s="126"/>
      <c r="AQ10" s="126"/>
      <c r="AR10" s="126"/>
      <c r="AS10" s="126"/>
      <c r="AT10" s="126"/>
      <c r="AU10" s="334"/>
      <c r="AV10" s="221"/>
      <c r="AW10" s="221"/>
      <c r="AX10" s="334"/>
      <c r="AY10" s="334"/>
      <c r="AZ10" s="334"/>
      <c r="BA10" s="126"/>
      <c r="BB10" s="126"/>
      <c r="BC10" s="126"/>
      <c r="BD10" s="126"/>
      <c r="BE10" s="126"/>
      <c r="BF10" s="126"/>
      <c r="BG10" s="126"/>
      <c r="BH10" s="126"/>
      <c r="BI10" s="334" t="s">
        <v>100</v>
      </c>
      <c r="BJ10" s="271"/>
      <c r="BK10" s="334"/>
      <c r="BL10" s="334" t="s">
        <v>100</v>
      </c>
      <c r="BM10" s="334"/>
    </row>
    <row r="11" spans="1:65" s="26" customFormat="1" ht="23.25" customHeight="1">
      <c r="A11" s="330"/>
      <c r="B11" s="326"/>
      <c r="C11" s="330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335"/>
      <c r="S11" s="335"/>
      <c r="T11" s="126"/>
      <c r="U11" s="126"/>
      <c r="V11" s="126"/>
      <c r="W11" s="126"/>
      <c r="X11" s="126"/>
      <c r="Y11" s="126"/>
      <c r="Z11" s="126"/>
      <c r="AA11" s="126"/>
      <c r="AB11" s="335"/>
      <c r="AC11" s="335"/>
      <c r="AD11" s="33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335"/>
      <c r="AV11" s="222"/>
      <c r="AW11" s="222"/>
      <c r="AX11" s="336"/>
      <c r="AY11" s="336"/>
      <c r="AZ11" s="335"/>
      <c r="BA11" s="126"/>
      <c r="BB11" s="126"/>
      <c r="BC11" s="126"/>
      <c r="BD11" s="126"/>
      <c r="BE11" s="126"/>
      <c r="BF11" s="126"/>
      <c r="BG11" s="126"/>
      <c r="BH11" s="126"/>
      <c r="BI11" s="336"/>
      <c r="BJ11" s="276"/>
      <c r="BK11" s="335"/>
      <c r="BL11" s="335"/>
      <c r="BM11" s="335"/>
    </row>
    <row r="12" spans="1:65" s="44" customFormat="1" ht="12" customHeight="1">
      <c r="A12" s="313">
        <v>4</v>
      </c>
      <c r="B12" s="323" t="s">
        <v>26</v>
      </c>
      <c r="C12" s="313">
        <v>1607.71</v>
      </c>
      <c r="D12" s="120"/>
      <c r="E12" s="120"/>
      <c r="F12" s="120"/>
      <c r="G12" s="120"/>
      <c r="H12" s="120"/>
      <c r="I12" s="120"/>
      <c r="J12" s="120"/>
      <c r="K12" s="120"/>
      <c r="L12" s="120">
        <v>2</v>
      </c>
      <c r="M12" s="120" t="s">
        <v>158</v>
      </c>
      <c r="N12" s="120"/>
      <c r="O12" s="120"/>
      <c r="P12" s="120"/>
      <c r="Q12" s="120"/>
      <c r="R12" s="317" t="s">
        <v>100</v>
      </c>
      <c r="S12" s="317"/>
      <c r="T12" s="120"/>
      <c r="U12" s="120"/>
      <c r="V12" s="120"/>
      <c r="W12" s="120"/>
      <c r="X12" s="120"/>
      <c r="Y12" s="120"/>
      <c r="Z12" s="120"/>
      <c r="AA12" s="120"/>
      <c r="AB12" s="317"/>
      <c r="AC12" s="317" t="s">
        <v>100</v>
      </c>
      <c r="AD12" s="317" t="s">
        <v>100</v>
      </c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317"/>
      <c r="AV12" s="219"/>
      <c r="AW12" s="219"/>
      <c r="AX12" s="317"/>
      <c r="AY12" s="317"/>
      <c r="AZ12" s="317"/>
      <c r="BA12" s="120"/>
      <c r="BB12" s="120"/>
      <c r="BC12" s="120"/>
      <c r="BD12" s="120"/>
      <c r="BE12" s="120"/>
      <c r="BF12" s="120"/>
      <c r="BG12" s="120"/>
      <c r="BH12" s="120"/>
      <c r="BI12" s="317" t="s">
        <v>100</v>
      </c>
      <c r="BJ12" s="274"/>
      <c r="BK12" s="317"/>
      <c r="BL12" s="317"/>
      <c r="BM12" s="317"/>
    </row>
    <row r="13" spans="1:65" s="44" customFormat="1" ht="12" customHeight="1">
      <c r="A13" s="322"/>
      <c r="B13" s="324"/>
      <c r="C13" s="322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318"/>
      <c r="S13" s="318"/>
      <c r="T13" s="120"/>
      <c r="U13" s="120"/>
      <c r="V13" s="120"/>
      <c r="W13" s="120"/>
      <c r="X13" s="120"/>
      <c r="Y13" s="120"/>
      <c r="Z13" s="120"/>
      <c r="AA13" s="120"/>
      <c r="AB13" s="318"/>
      <c r="AC13" s="318"/>
      <c r="AD13" s="318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318"/>
      <c r="AV13" s="220"/>
      <c r="AW13" s="220"/>
      <c r="AX13" s="318"/>
      <c r="AY13" s="318"/>
      <c r="AZ13" s="318"/>
      <c r="BA13" s="120"/>
      <c r="BB13" s="120"/>
      <c r="BC13" s="120"/>
      <c r="BD13" s="120"/>
      <c r="BE13" s="120"/>
      <c r="BF13" s="120"/>
      <c r="BG13" s="120"/>
      <c r="BH13" s="120"/>
      <c r="BI13" s="318"/>
      <c r="BJ13" s="275"/>
      <c r="BK13" s="318"/>
      <c r="BL13" s="318"/>
      <c r="BM13" s="318"/>
    </row>
    <row r="14" spans="1:70" s="44" customFormat="1" ht="12" customHeight="1">
      <c r="A14" s="329">
        <v>5</v>
      </c>
      <c r="B14" s="325" t="s">
        <v>27</v>
      </c>
      <c r="C14" s="329">
        <v>1566.5</v>
      </c>
      <c r="D14" s="126"/>
      <c r="E14" s="126"/>
      <c r="F14" s="126"/>
      <c r="G14" s="126"/>
      <c r="H14" s="126"/>
      <c r="I14" s="126"/>
      <c r="J14" s="126"/>
      <c r="K14" s="126"/>
      <c r="L14" s="126">
        <v>2</v>
      </c>
      <c r="M14" s="126" t="s">
        <v>158</v>
      </c>
      <c r="N14" s="126"/>
      <c r="O14" s="126"/>
      <c r="P14" s="126"/>
      <c r="Q14" s="126"/>
      <c r="R14" s="334" t="s">
        <v>100</v>
      </c>
      <c r="S14" s="334"/>
      <c r="T14" s="126"/>
      <c r="U14" s="126"/>
      <c r="V14" s="126"/>
      <c r="W14" s="126"/>
      <c r="X14" s="126"/>
      <c r="Y14" s="126"/>
      <c r="Z14" s="126"/>
      <c r="AA14" s="126"/>
      <c r="AB14" s="334"/>
      <c r="AC14" s="334" t="s">
        <v>100</v>
      </c>
      <c r="AD14" s="334" t="s">
        <v>100</v>
      </c>
      <c r="AE14" s="147"/>
      <c r="AF14" s="147"/>
      <c r="AG14" s="147"/>
      <c r="AH14" s="147"/>
      <c r="AI14" s="147"/>
      <c r="AJ14" s="147"/>
      <c r="AK14" s="147"/>
      <c r="AL14" s="147"/>
      <c r="AM14" s="126" t="s">
        <v>187</v>
      </c>
      <c r="AN14" s="126">
        <v>12</v>
      </c>
      <c r="AO14" s="126" t="s">
        <v>152</v>
      </c>
      <c r="AP14" s="126" t="s">
        <v>146</v>
      </c>
      <c r="AQ14" s="126">
        <v>12</v>
      </c>
      <c r="AR14" s="126" t="s">
        <v>152</v>
      </c>
      <c r="AS14" s="126"/>
      <c r="AT14" s="126"/>
      <c r="AU14" s="334"/>
      <c r="AV14" s="221"/>
      <c r="AW14" s="221"/>
      <c r="AX14" s="334"/>
      <c r="AY14" s="334"/>
      <c r="AZ14" s="334"/>
      <c r="BA14" s="126"/>
      <c r="BB14" s="334" t="s">
        <v>100</v>
      </c>
      <c r="BC14" s="221"/>
      <c r="BD14" s="147"/>
      <c r="BE14" s="147"/>
      <c r="BF14" s="147"/>
      <c r="BG14" s="126"/>
      <c r="BH14" s="126"/>
      <c r="BI14" s="334" t="s">
        <v>100</v>
      </c>
      <c r="BJ14" s="271"/>
      <c r="BK14" s="334">
        <v>1</v>
      </c>
      <c r="BL14" s="334"/>
      <c r="BM14" s="334"/>
      <c r="BN14" s="64"/>
      <c r="BO14" s="64"/>
      <c r="BP14" s="64"/>
      <c r="BQ14" s="64"/>
      <c r="BR14" s="64"/>
    </row>
    <row r="15" spans="1:70" s="44" customFormat="1" ht="12" customHeight="1">
      <c r="A15" s="330"/>
      <c r="B15" s="326"/>
      <c r="C15" s="330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335"/>
      <c r="S15" s="335"/>
      <c r="T15" s="126"/>
      <c r="U15" s="126"/>
      <c r="V15" s="126"/>
      <c r="W15" s="126"/>
      <c r="X15" s="126"/>
      <c r="Y15" s="126"/>
      <c r="Z15" s="126"/>
      <c r="AA15" s="126"/>
      <c r="AB15" s="335"/>
      <c r="AC15" s="335"/>
      <c r="AD15" s="335"/>
      <c r="AE15" s="147"/>
      <c r="AF15" s="147"/>
      <c r="AG15" s="147"/>
      <c r="AH15" s="147"/>
      <c r="AI15" s="147"/>
      <c r="AJ15" s="147"/>
      <c r="AK15" s="147"/>
      <c r="AL15" s="147"/>
      <c r="AM15" s="126" t="s">
        <v>151</v>
      </c>
      <c r="AN15" s="126">
        <v>4</v>
      </c>
      <c r="AO15" s="126" t="s">
        <v>152</v>
      </c>
      <c r="AP15" s="126"/>
      <c r="AQ15" s="126"/>
      <c r="AR15" s="126"/>
      <c r="AS15" s="126"/>
      <c r="AT15" s="126"/>
      <c r="AU15" s="335"/>
      <c r="AV15" s="244"/>
      <c r="AW15" s="244"/>
      <c r="AX15" s="335"/>
      <c r="AY15" s="335"/>
      <c r="AZ15" s="335"/>
      <c r="BA15" s="126"/>
      <c r="BB15" s="335"/>
      <c r="BC15" s="244"/>
      <c r="BD15" s="147"/>
      <c r="BE15" s="147"/>
      <c r="BF15" s="147"/>
      <c r="BG15" s="126"/>
      <c r="BH15" s="126"/>
      <c r="BI15" s="335"/>
      <c r="BJ15" s="276"/>
      <c r="BK15" s="335"/>
      <c r="BL15" s="335"/>
      <c r="BM15" s="335"/>
      <c r="BN15" s="64"/>
      <c r="BO15" s="64"/>
      <c r="BP15" s="64"/>
      <c r="BQ15" s="64"/>
      <c r="BR15" s="64"/>
    </row>
    <row r="16" spans="1:70" s="44" customFormat="1" ht="12" customHeight="1">
      <c r="A16" s="330"/>
      <c r="B16" s="326"/>
      <c r="C16" s="33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336"/>
      <c r="S16" s="336"/>
      <c r="T16" s="190"/>
      <c r="U16" s="190"/>
      <c r="V16" s="190"/>
      <c r="W16" s="190"/>
      <c r="X16" s="190"/>
      <c r="Y16" s="190"/>
      <c r="Z16" s="190"/>
      <c r="AA16" s="190"/>
      <c r="AB16" s="336"/>
      <c r="AC16" s="336"/>
      <c r="AD16" s="336"/>
      <c r="AE16" s="190"/>
      <c r="AF16" s="190"/>
      <c r="AG16" s="190"/>
      <c r="AH16" s="190"/>
      <c r="AI16" s="190"/>
      <c r="AJ16" s="190"/>
      <c r="AK16" s="190"/>
      <c r="AL16" s="190"/>
      <c r="AM16" s="190" t="s">
        <v>147</v>
      </c>
      <c r="AN16" s="190">
        <v>8</v>
      </c>
      <c r="AO16" s="190" t="s">
        <v>152</v>
      </c>
      <c r="AP16" s="190"/>
      <c r="AQ16" s="190"/>
      <c r="AR16" s="190"/>
      <c r="AS16" s="190"/>
      <c r="AT16" s="190"/>
      <c r="AU16" s="336"/>
      <c r="AV16" s="223"/>
      <c r="AW16" s="223"/>
      <c r="AX16" s="336"/>
      <c r="AY16" s="336"/>
      <c r="AZ16" s="336"/>
      <c r="BA16" s="190"/>
      <c r="BB16" s="336"/>
      <c r="BC16" s="223"/>
      <c r="BD16" s="190"/>
      <c r="BE16" s="190"/>
      <c r="BF16" s="190"/>
      <c r="BG16" s="190"/>
      <c r="BH16" s="190"/>
      <c r="BI16" s="336"/>
      <c r="BJ16" s="277"/>
      <c r="BK16" s="336"/>
      <c r="BL16" s="336"/>
      <c r="BM16" s="336"/>
      <c r="BN16" s="64"/>
      <c r="BO16" s="64"/>
      <c r="BP16" s="64"/>
      <c r="BQ16" s="64"/>
      <c r="BR16" s="64"/>
    </row>
    <row r="17" spans="1:65" s="26" customFormat="1" ht="12.75">
      <c r="A17" s="313">
        <v>6</v>
      </c>
      <c r="B17" s="323" t="s">
        <v>28</v>
      </c>
      <c r="C17" s="313">
        <v>1531</v>
      </c>
      <c r="D17" s="191"/>
      <c r="E17" s="191"/>
      <c r="F17" s="191"/>
      <c r="G17" s="191"/>
      <c r="H17" s="191"/>
      <c r="I17" s="191"/>
      <c r="J17" s="191"/>
      <c r="K17" s="191"/>
      <c r="L17" s="191">
        <v>2</v>
      </c>
      <c r="M17" s="191" t="s">
        <v>158</v>
      </c>
      <c r="N17" s="191"/>
      <c r="O17" s="191"/>
      <c r="P17" s="191"/>
      <c r="Q17" s="191"/>
      <c r="R17" s="317" t="s">
        <v>100</v>
      </c>
      <c r="S17" s="344"/>
      <c r="T17" s="191"/>
      <c r="U17" s="191"/>
      <c r="V17" s="191"/>
      <c r="W17" s="191"/>
      <c r="X17" s="191"/>
      <c r="Y17" s="191"/>
      <c r="Z17" s="120"/>
      <c r="AA17" s="120"/>
      <c r="AB17" s="317"/>
      <c r="AC17" s="317" t="s">
        <v>100</v>
      </c>
      <c r="AD17" s="317" t="s">
        <v>100</v>
      </c>
      <c r="AE17" s="191"/>
      <c r="AF17" s="191"/>
      <c r="AG17" s="191"/>
      <c r="AH17" s="191"/>
      <c r="AI17" s="191"/>
      <c r="AJ17" s="191"/>
      <c r="AK17" s="191"/>
      <c r="AL17" s="191"/>
      <c r="AM17" s="120"/>
      <c r="AN17" s="120"/>
      <c r="AO17" s="120"/>
      <c r="AP17" s="191"/>
      <c r="AQ17" s="191"/>
      <c r="AR17" s="191"/>
      <c r="AS17" s="120"/>
      <c r="AT17" s="120"/>
      <c r="AU17" s="317"/>
      <c r="AV17" s="219"/>
      <c r="AW17" s="219"/>
      <c r="AX17" s="317"/>
      <c r="AY17" s="317"/>
      <c r="AZ17" s="344"/>
      <c r="BA17" s="191"/>
      <c r="BB17" s="317" t="s">
        <v>100</v>
      </c>
      <c r="BC17" s="219"/>
      <c r="BD17" s="191"/>
      <c r="BE17" s="191"/>
      <c r="BF17" s="191"/>
      <c r="BG17" s="191"/>
      <c r="BH17" s="120"/>
      <c r="BI17" s="317" t="s">
        <v>100</v>
      </c>
      <c r="BJ17" s="274"/>
      <c r="BK17" s="344"/>
      <c r="BL17" s="344"/>
      <c r="BM17" s="317"/>
    </row>
    <row r="18" spans="1:65" s="26" customFormat="1" ht="12.75">
      <c r="A18" s="322"/>
      <c r="B18" s="324"/>
      <c r="C18" s="322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318"/>
      <c r="S18" s="346"/>
      <c r="T18" s="191"/>
      <c r="U18" s="191"/>
      <c r="V18" s="191"/>
      <c r="W18" s="191"/>
      <c r="X18" s="191"/>
      <c r="Y18" s="191"/>
      <c r="Z18" s="120"/>
      <c r="AA18" s="120"/>
      <c r="AB18" s="318"/>
      <c r="AC18" s="318"/>
      <c r="AD18" s="318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318"/>
      <c r="AV18" s="220"/>
      <c r="AW18" s="220"/>
      <c r="AX18" s="318"/>
      <c r="AY18" s="318"/>
      <c r="AZ18" s="346"/>
      <c r="BA18" s="191"/>
      <c r="BB18" s="318"/>
      <c r="BC18" s="220"/>
      <c r="BD18" s="191"/>
      <c r="BE18" s="191"/>
      <c r="BF18" s="191"/>
      <c r="BG18" s="191"/>
      <c r="BH18" s="191"/>
      <c r="BI18" s="318"/>
      <c r="BJ18" s="275"/>
      <c r="BK18" s="346"/>
      <c r="BL18" s="346"/>
      <c r="BM18" s="318"/>
    </row>
    <row r="19" spans="1:65" s="44" customFormat="1" ht="12.75">
      <c r="A19" s="329">
        <v>7</v>
      </c>
      <c r="B19" s="325" t="s">
        <v>29</v>
      </c>
      <c r="C19" s="329">
        <v>1232.9</v>
      </c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334" t="s">
        <v>100</v>
      </c>
      <c r="S19" s="341"/>
      <c r="T19" s="190"/>
      <c r="U19" s="190"/>
      <c r="V19" s="190"/>
      <c r="W19" s="190"/>
      <c r="X19" s="190"/>
      <c r="Y19" s="190"/>
      <c r="Z19" s="190"/>
      <c r="AA19" s="190"/>
      <c r="AB19" s="334"/>
      <c r="AC19" s="334"/>
      <c r="AD19" s="334" t="s">
        <v>100</v>
      </c>
      <c r="AE19" s="190"/>
      <c r="AF19" s="190"/>
      <c r="AG19" s="190"/>
      <c r="AH19" s="190"/>
      <c r="AI19" s="190"/>
      <c r="AJ19" s="190"/>
      <c r="AK19" s="190"/>
      <c r="AL19" s="190"/>
      <c r="AM19" s="190" t="s">
        <v>147</v>
      </c>
      <c r="AN19" s="190">
        <v>3</v>
      </c>
      <c r="AO19" s="190" t="s">
        <v>152</v>
      </c>
      <c r="AP19" s="190"/>
      <c r="AQ19" s="190"/>
      <c r="AR19" s="190"/>
      <c r="AS19" s="190"/>
      <c r="AT19" s="190"/>
      <c r="AU19" s="334"/>
      <c r="AV19" s="221"/>
      <c r="AW19" s="221"/>
      <c r="AX19" s="334"/>
      <c r="AY19" s="334"/>
      <c r="AZ19" s="341"/>
      <c r="BA19" s="190"/>
      <c r="BB19" s="190"/>
      <c r="BC19" s="190"/>
      <c r="BD19" s="190"/>
      <c r="BE19" s="190"/>
      <c r="BF19" s="190"/>
      <c r="BG19" s="190"/>
      <c r="BH19" s="190"/>
      <c r="BI19" s="334" t="s">
        <v>100</v>
      </c>
      <c r="BJ19" s="334"/>
      <c r="BK19" s="334">
        <v>1</v>
      </c>
      <c r="BL19" s="341"/>
      <c r="BM19" s="334"/>
    </row>
    <row r="20" spans="1:65" s="44" customFormat="1" ht="12" customHeight="1">
      <c r="A20" s="338"/>
      <c r="B20" s="347"/>
      <c r="C20" s="338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336"/>
      <c r="S20" s="343"/>
      <c r="T20" s="190"/>
      <c r="U20" s="190"/>
      <c r="V20" s="190"/>
      <c r="W20" s="190"/>
      <c r="X20" s="190"/>
      <c r="Y20" s="190"/>
      <c r="Z20" s="190"/>
      <c r="AA20" s="190"/>
      <c r="AB20" s="336"/>
      <c r="AC20" s="336"/>
      <c r="AD20" s="336"/>
      <c r="AE20" s="190"/>
      <c r="AF20" s="190"/>
      <c r="AG20" s="190"/>
      <c r="AH20" s="190"/>
      <c r="AI20" s="190"/>
      <c r="AJ20" s="190"/>
      <c r="AK20" s="190"/>
      <c r="AL20" s="190"/>
      <c r="AM20" s="190" t="s">
        <v>151</v>
      </c>
      <c r="AN20" s="190">
        <v>50</v>
      </c>
      <c r="AO20" s="190" t="s">
        <v>152</v>
      </c>
      <c r="AP20" s="190"/>
      <c r="AQ20" s="190"/>
      <c r="AR20" s="190"/>
      <c r="AS20" s="190"/>
      <c r="AT20" s="190"/>
      <c r="AU20" s="336"/>
      <c r="AV20" s="223"/>
      <c r="AW20" s="223"/>
      <c r="AX20" s="336"/>
      <c r="AY20" s="336"/>
      <c r="AZ20" s="343"/>
      <c r="BA20" s="190"/>
      <c r="BB20" s="190"/>
      <c r="BC20" s="190"/>
      <c r="BD20" s="190"/>
      <c r="BE20" s="190"/>
      <c r="BF20" s="190"/>
      <c r="BG20" s="190"/>
      <c r="BH20" s="190"/>
      <c r="BI20" s="336"/>
      <c r="BJ20" s="336"/>
      <c r="BK20" s="336"/>
      <c r="BL20" s="343"/>
      <c r="BM20" s="336"/>
    </row>
    <row r="21" spans="1:65" s="26" customFormat="1" ht="12" customHeight="1">
      <c r="A21" s="313">
        <v>8</v>
      </c>
      <c r="B21" s="323" t="s">
        <v>30</v>
      </c>
      <c r="C21" s="313">
        <v>2787.1</v>
      </c>
      <c r="D21" s="191" t="s">
        <v>149</v>
      </c>
      <c r="E21" s="191">
        <v>6</v>
      </c>
      <c r="F21" s="208"/>
      <c r="G21" s="208"/>
      <c r="H21" s="317"/>
      <c r="I21" s="235"/>
      <c r="J21" s="235"/>
      <c r="K21" s="191"/>
      <c r="L21" s="191"/>
      <c r="M21" s="191"/>
      <c r="N21" s="191">
        <v>60</v>
      </c>
      <c r="O21" s="191" t="s">
        <v>153</v>
      </c>
      <c r="P21" s="191"/>
      <c r="Q21" s="191"/>
      <c r="R21" s="317" t="s">
        <v>100</v>
      </c>
      <c r="S21" s="317"/>
      <c r="T21" s="191"/>
      <c r="U21" s="191"/>
      <c r="V21" s="191"/>
      <c r="W21" s="191"/>
      <c r="X21" s="191"/>
      <c r="Y21" s="191"/>
      <c r="Z21" s="191"/>
      <c r="AA21" s="191"/>
      <c r="AB21" s="317"/>
      <c r="AC21" s="317"/>
      <c r="AD21" s="317" t="s">
        <v>100</v>
      </c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317"/>
      <c r="AV21" s="219"/>
      <c r="AW21" s="219"/>
      <c r="AX21" s="317"/>
      <c r="AY21" s="317"/>
      <c r="AZ21" s="344"/>
      <c r="BA21" s="191"/>
      <c r="BB21" s="191"/>
      <c r="BC21" s="317" t="s">
        <v>100</v>
      </c>
      <c r="BD21" s="204"/>
      <c r="BE21" s="191"/>
      <c r="BF21" s="191"/>
      <c r="BG21" s="191"/>
      <c r="BH21" s="191"/>
      <c r="BI21" s="317" t="s">
        <v>100</v>
      </c>
      <c r="BJ21" s="274"/>
      <c r="BK21" s="344"/>
      <c r="BL21" s="344"/>
      <c r="BM21" s="317"/>
    </row>
    <row r="22" spans="1:65" s="26" customFormat="1" ht="12" customHeight="1">
      <c r="A22" s="322"/>
      <c r="B22" s="324"/>
      <c r="C22" s="322"/>
      <c r="D22" s="191"/>
      <c r="E22" s="191"/>
      <c r="F22" s="210"/>
      <c r="G22" s="210"/>
      <c r="H22" s="337"/>
      <c r="I22" s="246"/>
      <c r="J22" s="246"/>
      <c r="K22" s="191"/>
      <c r="L22" s="191"/>
      <c r="M22" s="191"/>
      <c r="N22" s="191"/>
      <c r="O22" s="191"/>
      <c r="P22" s="191"/>
      <c r="Q22" s="191"/>
      <c r="R22" s="337"/>
      <c r="S22" s="337"/>
      <c r="T22" s="191"/>
      <c r="U22" s="191"/>
      <c r="V22" s="191"/>
      <c r="W22" s="191"/>
      <c r="X22" s="191"/>
      <c r="Y22" s="191"/>
      <c r="Z22" s="191"/>
      <c r="AA22" s="191"/>
      <c r="AB22" s="337"/>
      <c r="AC22" s="337"/>
      <c r="AD22" s="337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337"/>
      <c r="AV22" s="224"/>
      <c r="AW22" s="224"/>
      <c r="AX22" s="337"/>
      <c r="AY22" s="337"/>
      <c r="AZ22" s="345"/>
      <c r="BA22" s="191"/>
      <c r="BB22" s="191"/>
      <c r="BC22" s="337"/>
      <c r="BD22" s="191"/>
      <c r="BE22" s="191"/>
      <c r="BF22" s="191"/>
      <c r="BG22" s="191"/>
      <c r="BH22" s="191"/>
      <c r="BI22" s="337"/>
      <c r="BJ22" s="278"/>
      <c r="BK22" s="345"/>
      <c r="BL22" s="345"/>
      <c r="BM22" s="337"/>
    </row>
    <row r="23" spans="1:65" s="26" customFormat="1" ht="12" customHeight="1">
      <c r="A23" s="322"/>
      <c r="B23" s="324"/>
      <c r="C23" s="322"/>
      <c r="D23" s="191"/>
      <c r="E23" s="191"/>
      <c r="F23" s="210"/>
      <c r="G23" s="210"/>
      <c r="H23" s="337"/>
      <c r="I23" s="246"/>
      <c r="J23" s="246"/>
      <c r="K23" s="191"/>
      <c r="L23" s="191"/>
      <c r="M23" s="191"/>
      <c r="N23" s="191"/>
      <c r="O23" s="191"/>
      <c r="P23" s="191"/>
      <c r="Q23" s="191"/>
      <c r="R23" s="337"/>
      <c r="S23" s="337"/>
      <c r="T23" s="191"/>
      <c r="U23" s="191"/>
      <c r="V23" s="191"/>
      <c r="W23" s="191"/>
      <c r="X23" s="191"/>
      <c r="Y23" s="191"/>
      <c r="Z23" s="191"/>
      <c r="AA23" s="191"/>
      <c r="AB23" s="337"/>
      <c r="AC23" s="337"/>
      <c r="AD23" s="337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337"/>
      <c r="AV23" s="224"/>
      <c r="AW23" s="224"/>
      <c r="AX23" s="337"/>
      <c r="AY23" s="337"/>
      <c r="AZ23" s="345"/>
      <c r="BA23" s="191"/>
      <c r="BB23" s="191"/>
      <c r="BC23" s="337"/>
      <c r="BD23" s="191"/>
      <c r="BE23" s="191"/>
      <c r="BF23" s="191"/>
      <c r="BG23" s="191"/>
      <c r="BH23" s="191"/>
      <c r="BI23" s="337"/>
      <c r="BJ23" s="278"/>
      <c r="BK23" s="345"/>
      <c r="BL23" s="345"/>
      <c r="BM23" s="337"/>
    </row>
    <row r="24" spans="1:65" s="26" customFormat="1" ht="12" customHeight="1">
      <c r="A24" s="322"/>
      <c r="B24" s="324"/>
      <c r="C24" s="322"/>
      <c r="D24" s="191"/>
      <c r="E24" s="191"/>
      <c r="F24" s="209"/>
      <c r="G24" s="209"/>
      <c r="H24" s="318"/>
      <c r="I24" s="236"/>
      <c r="J24" s="236"/>
      <c r="K24" s="191"/>
      <c r="L24" s="191"/>
      <c r="M24" s="191"/>
      <c r="N24" s="191"/>
      <c r="O24" s="191"/>
      <c r="P24" s="191"/>
      <c r="Q24" s="191"/>
      <c r="R24" s="318"/>
      <c r="S24" s="318"/>
      <c r="T24" s="191"/>
      <c r="U24" s="191"/>
      <c r="V24" s="191"/>
      <c r="W24" s="191"/>
      <c r="X24" s="191"/>
      <c r="Y24" s="191"/>
      <c r="Z24" s="191"/>
      <c r="AA24" s="191"/>
      <c r="AB24" s="318"/>
      <c r="AC24" s="318"/>
      <c r="AD24" s="318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318"/>
      <c r="AV24" s="220"/>
      <c r="AW24" s="220"/>
      <c r="AX24" s="318"/>
      <c r="AY24" s="318"/>
      <c r="AZ24" s="346"/>
      <c r="BA24" s="191"/>
      <c r="BB24" s="191"/>
      <c r="BC24" s="318"/>
      <c r="BD24" s="191"/>
      <c r="BE24" s="191"/>
      <c r="BF24" s="191"/>
      <c r="BG24" s="191"/>
      <c r="BH24" s="191"/>
      <c r="BI24" s="318"/>
      <c r="BJ24" s="275"/>
      <c r="BK24" s="346"/>
      <c r="BL24" s="346"/>
      <c r="BM24" s="318"/>
    </row>
    <row r="25" spans="1:65" s="44" customFormat="1" ht="32.25" customHeight="1">
      <c r="A25" s="139">
        <v>9</v>
      </c>
      <c r="B25" s="140" t="s">
        <v>37</v>
      </c>
      <c r="C25" s="139">
        <v>367.33</v>
      </c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26" t="s">
        <v>100</v>
      </c>
      <c r="S25" s="190"/>
      <c r="T25" s="190"/>
      <c r="U25" s="190"/>
      <c r="V25" s="190"/>
      <c r="W25" s="190"/>
      <c r="X25" s="190"/>
      <c r="Y25" s="190"/>
      <c r="Z25" s="190"/>
      <c r="AA25" s="190"/>
      <c r="AB25" s="126"/>
      <c r="AC25" s="126"/>
      <c r="AD25" s="126" t="s">
        <v>100</v>
      </c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26"/>
      <c r="AV25" s="126"/>
      <c r="AW25" s="126"/>
      <c r="AX25" s="126"/>
      <c r="AY25" s="126"/>
      <c r="AZ25" s="190"/>
      <c r="BA25" s="190"/>
      <c r="BB25" s="190"/>
      <c r="BC25" s="190"/>
      <c r="BD25" s="190"/>
      <c r="BE25" s="190"/>
      <c r="BF25" s="190"/>
      <c r="BG25" s="190"/>
      <c r="BH25" s="190"/>
      <c r="BI25" s="126" t="s">
        <v>100</v>
      </c>
      <c r="BJ25" s="126"/>
      <c r="BK25" s="190"/>
      <c r="BL25" s="190"/>
      <c r="BM25" s="126"/>
    </row>
    <row r="26" spans="1:65" s="26" customFormat="1" ht="12" customHeight="1">
      <c r="A26" s="313">
        <v>10</v>
      </c>
      <c r="B26" s="323" t="s">
        <v>31</v>
      </c>
      <c r="C26" s="313">
        <v>2258.4</v>
      </c>
      <c r="D26" s="191" t="s">
        <v>149</v>
      </c>
      <c r="E26" s="191">
        <v>2</v>
      </c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317" t="s">
        <v>100</v>
      </c>
      <c r="S26" s="344"/>
      <c r="T26" s="191"/>
      <c r="U26" s="191"/>
      <c r="V26" s="191"/>
      <c r="W26" s="191"/>
      <c r="X26" s="191"/>
      <c r="Y26" s="191"/>
      <c r="Z26" s="191"/>
      <c r="AA26" s="191"/>
      <c r="AB26" s="317"/>
      <c r="AC26" s="317"/>
      <c r="AD26" s="317" t="s">
        <v>100</v>
      </c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317"/>
      <c r="AV26" s="219"/>
      <c r="AW26" s="219"/>
      <c r="AX26" s="317"/>
      <c r="AY26" s="317"/>
      <c r="AZ26" s="317"/>
      <c r="BA26" s="191"/>
      <c r="BB26" s="191"/>
      <c r="BC26" s="191"/>
      <c r="BD26" s="191">
        <v>62</v>
      </c>
      <c r="BE26" s="191" t="s">
        <v>152</v>
      </c>
      <c r="BF26" s="191"/>
      <c r="BG26" s="191"/>
      <c r="BH26" s="191"/>
      <c r="BI26" s="317" t="s">
        <v>100</v>
      </c>
      <c r="BJ26" s="274"/>
      <c r="BK26" s="317"/>
      <c r="BL26" s="317"/>
      <c r="BM26" s="317"/>
    </row>
    <row r="27" spans="1:65" s="26" customFormat="1" ht="12" customHeight="1">
      <c r="A27" s="322"/>
      <c r="B27" s="324"/>
      <c r="C27" s="322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337"/>
      <c r="S27" s="345"/>
      <c r="T27" s="191"/>
      <c r="U27" s="191"/>
      <c r="V27" s="191"/>
      <c r="W27" s="191"/>
      <c r="X27" s="191"/>
      <c r="Y27" s="191"/>
      <c r="Z27" s="191"/>
      <c r="AA27" s="191"/>
      <c r="AB27" s="337"/>
      <c r="AC27" s="337"/>
      <c r="AD27" s="337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337"/>
      <c r="AV27" s="224"/>
      <c r="AW27" s="224"/>
      <c r="AX27" s="337"/>
      <c r="AY27" s="337"/>
      <c r="AZ27" s="337"/>
      <c r="BA27" s="191"/>
      <c r="BB27" s="191"/>
      <c r="BC27" s="191"/>
      <c r="BD27" s="191"/>
      <c r="BE27" s="191"/>
      <c r="BF27" s="191"/>
      <c r="BG27" s="191"/>
      <c r="BH27" s="191"/>
      <c r="BI27" s="337"/>
      <c r="BJ27" s="278"/>
      <c r="BK27" s="337"/>
      <c r="BL27" s="337"/>
      <c r="BM27" s="337"/>
    </row>
    <row r="28" spans="1:65" s="26" customFormat="1" ht="12" customHeight="1">
      <c r="A28" s="322"/>
      <c r="B28" s="324"/>
      <c r="C28" s="322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318"/>
      <c r="S28" s="346"/>
      <c r="T28" s="191"/>
      <c r="U28" s="191"/>
      <c r="V28" s="191"/>
      <c r="W28" s="191"/>
      <c r="X28" s="191"/>
      <c r="Y28" s="191"/>
      <c r="Z28" s="191"/>
      <c r="AA28" s="191"/>
      <c r="AB28" s="318"/>
      <c r="AC28" s="318"/>
      <c r="AD28" s="318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318"/>
      <c r="AV28" s="220"/>
      <c r="AW28" s="220"/>
      <c r="AX28" s="318"/>
      <c r="AY28" s="318"/>
      <c r="AZ28" s="318"/>
      <c r="BA28" s="191"/>
      <c r="BB28" s="191"/>
      <c r="BC28" s="191"/>
      <c r="BD28" s="191"/>
      <c r="BE28" s="191"/>
      <c r="BF28" s="191"/>
      <c r="BG28" s="191"/>
      <c r="BH28" s="191"/>
      <c r="BI28" s="318"/>
      <c r="BJ28" s="275"/>
      <c r="BK28" s="318"/>
      <c r="BL28" s="318"/>
      <c r="BM28" s="318"/>
    </row>
    <row r="29" spans="1:65" s="77" customFormat="1" ht="38.25" customHeight="1">
      <c r="A29" s="329">
        <v>11</v>
      </c>
      <c r="B29" s="325" t="s">
        <v>32</v>
      </c>
      <c r="C29" s="329">
        <v>4349.1</v>
      </c>
      <c r="D29" s="126" t="s">
        <v>149</v>
      </c>
      <c r="E29" s="126">
        <v>2</v>
      </c>
      <c r="F29" s="126"/>
      <c r="G29" s="126"/>
      <c r="H29" s="190"/>
      <c r="I29" s="190"/>
      <c r="J29" s="190"/>
      <c r="K29" s="126"/>
      <c r="L29" s="126">
        <v>4</v>
      </c>
      <c r="M29" s="126" t="s">
        <v>207</v>
      </c>
      <c r="N29" s="126"/>
      <c r="O29" s="126"/>
      <c r="P29" s="126"/>
      <c r="Q29" s="126"/>
      <c r="R29" s="334" t="s">
        <v>100</v>
      </c>
      <c r="S29" s="334"/>
      <c r="T29" s="190"/>
      <c r="U29" s="190"/>
      <c r="V29" s="190"/>
      <c r="W29" s="190"/>
      <c r="X29" s="190"/>
      <c r="Y29" s="190"/>
      <c r="Z29" s="190"/>
      <c r="AA29" s="190"/>
      <c r="AB29" s="334"/>
      <c r="AC29" s="334"/>
      <c r="AD29" s="334" t="s">
        <v>100</v>
      </c>
      <c r="AE29" s="126"/>
      <c r="AF29" s="126"/>
      <c r="AG29" s="126"/>
      <c r="AH29" s="126"/>
      <c r="AI29" s="126"/>
      <c r="AJ29" s="126"/>
      <c r="AK29" s="126"/>
      <c r="AL29" s="190"/>
      <c r="AM29" s="190"/>
      <c r="AN29" s="190"/>
      <c r="AO29" s="190"/>
      <c r="AP29" s="126"/>
      <c r="AQ29" s="126"/>
      <c r="AR29" s="126"/>
      <c r="AS29" s="190"/>
      <c r="AT29" s="190"/>
      <c r="AU29" s="334"/>
      <c r="AV29" s="221"/>
      <c r="AW29" s="221"/>
      <c r="AX29" s="334"/>
      <c r="AY29" s="334"/>
      <c r="AZ29" s="341"/>
      <c r="BA29" s="190"/>
      <c r="BB29" s="334" t="s">
        <v>100</v>
      </c>
      <c r="BC29" s="221"/>
      <c r="BD29" s="126">
        <v>35</v>
      </c>
      <c r="BE29" s="126" t="s">
        <v>194</v>
      </c>
      <c r="BF29" s="190"/>
      <c r="BG29" s="190"/>
      <c r="BH29" s="190"/>
      <c r="BI29" s="334" t="s">
        <v>100</v>
      </c>
      <c r="BJ29" s="334">
        <v>1</v>
      </c>
      <c r="BK29" s="334">
        <v>2</v>
      </c>
      <c r="BL29" s="334"/>
      <c r="BM29" s="173"/>
    </row>
    <row r="30" spans="1:65" s="77" customFormat="1" ht="12" customHeight="1">
      <c r="A30" s="330"/>
      <c r="B30" s="326"/>
      <c r="C30" s="330"/>
      <c r="D30" s="190"/>
      <c r="E30" s="190"/>
      <c r="F30" s="190"/>
      <c r="G30" s="190"/>
      <c r="H30" s="190"/>
      <c r="I30" s="190"/>
      <c r="J30" s="190"/>
      <c r="K30" s="126"/>
      <c r="L30" s="126"/>
      <c r="M30" s="126"/>
      <c r="N30" s="126"/>
      <c r="O30" s="126"/>
      <c r="P30" s="126"/>
      <c r="Q30" s="126"/>
      <c r="R30" s="335"/>
      <c r="S30" s="335"/>
      <c r="T30" s="190"/>
      <c r="U30" s="190"/>
      <c r="V30" s="190"/>
      <c r="W30" s="190"/>
      <c r="X30" s="190"/>
      <c r="Y30" s="190"/>
      <c r="Z30" s="190"/>
      <c r="AA30" s="190"/>
      <c r="AB30" s="335"/>
      <c r="AC30" s="335"/>
      <c r="AD30" s="335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335"/>
      <c r="AV30" s="222"/>
      <c r="AW30" s="222"/>
      <c r="AX30" s="335"/>
      <c r="AY30" s="335"/>
      <c r="AZ30" s="342"/>
      <c r="BA30" s="190"/>
      <c r="BB30" s="335"/>
      <c r="BC30" s="222"/>
      <c r="BD30" s="190">
        <v>4</v>
      </c>
      <c r="BE30" s="190" t="s">
        <v>198</v>
      </c>
      <c r="BF30" s="190"/>
      <c r="BG30" s="190"/>
      <c r="BH30" s="190"/>
      <c r="BI30" s="335"/>
      <c r="BJ30" s="335"/>
      <c r="BK30" s="335"/>
      <c r="BL30" s="335"/>
      <c r="BM30" s="174"/>
    </row>
    <row r="31" spans="1:65" s="77" customFormat="1" ht="12" customHeight="1">
      <c r="A31" s="330"/>
      <c r="B31" s="326"/>
      <c r="C31" s="330"/>
      <c r="D31" s="190"/>
      <c r="E31" s="190"/>
      <c r="F31" s="190"/>
      <c r="G31" s="190"/>
      <c r="H31" s="190"/>
      <c r="I31" s="190"/>
      <c r="J31" s="190"/>
      <c r="K31" s="126"/>
      <c r="L31" s="126"/>
      <c r="M31" s="126"/>
      <c r="N31" s="126"/>
      <c r="O31" s="126"/>
      <c r="P31" s="126"/>
      <c r="Q31" s="126"/>
      <c r="R31" s="335"/>
      <c r="S31" s="335"/>
      <c r="T31" s="190"/>
      <c r="U31" s="190"/>
      <c r="V31" s="190"/>
      <c r="W31" s="190"/>
      <c r="X31" s="190"/>
      <c r="Y31" s="190"/>
      <c r="Z31" s="190"/>
      <c r="AA31" s="190"/>
      <c r="AB31" s="335"/>
      <c r="AC31" s="335"/>
      <c r="AD31" s="335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335"/>
      <c r="AV31" s="222"/>
      <c r="AW31" s="222"/>
      <c r="AX31" s="335"/>
      <c r="AY31" s="335"/>
      <c r="AZ31" s="342"/>
      <c r="BA31" s="190"/>
      <c r="BB31" s="335"/>
      <c r="BC31" s="222"/>
      <c r="BD31" s="190">
        <v>53</v>
      </c>
      <c r="BE31" s="190" t="s">
        <v>200</v>
      </c>
      <c r="BF31" s="190"/>
      <c r="BG31" s="190"/>
      <c r="BH31" s="190"/>
      <c r="BI31" s="335"/>
      <c r="BJ31" s="335"/>
      <c r="BK31" s="335"/>
      <c r="BL31" s="335"/>
      <c r="BM31" s="174"/>
    </row>
    <row r="32" spans="1:65" s="77" customFormat="1" ht="12" customHeight="1">
      <c r="A32" s="330"/>
      <c r="B32" s="326"/>
      <c r="C32" s="330"/>
      <c r="D32" s="190"/>
      <c r="E32" s="190"/>
      <c r="F32" s="190"/>
      <c r="G32" s="190"/>
      <c r="H32" s="190"/>
      <c r="I32" s="190"/>
      <c r="J32" s="190"/>
      <c r="K32" s="126"/>
      <c r="L32" s="126"/>
      <c r="M32" s="126"/>
      <c r="N32" s="126"/>
      <c r="O32" s="126"/>
      <c r="P32" s="126"/>
      <c r="Q32" s="126"/>
      <c r="R32" s="335"/>
      <c r="S32" s="335"/>
      <c r="T32" s="190"/>
      <c r="U32" s="190"/>
      <c r="V32" s="190"/>
      <c r="W32" s="190"/>
      <c r="X32" s="190"/>
      <c r="Y32" s="190"/>
      <c r="Z32" s="190"/>
      <c r="AA32" s="190"/>
      <c r="AB32" s="335"/>
      <c r="AC32" s="335"/>
      <c r="AD32" s="335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335"/>
      <c r="AV32" s="244"/>
      <c r="AW32" s="244"/>
      <c r="AX32" s="335"/>
      <c r="AY32" s="335"/>
      <c r="AZ32" s="342"/>
      <c r="BA32" s="190"/>
      <c r="BB32" s="335"/>
      <c r="BC32" s="244"/>
      <c r="BD32" s="190">
        <v>66</v>
      </c>
      <c r="BE32" s="190" t="s">
        <v>205</v>
      </c>
      <c r="BF32" s="190"/>
      <c r="BG32" s="190"/>
      <c r="BH32" s="190"/>
      <c r="BI32" s="335"/>
      <c r="BJ32" s="335"/>
      <c r="BK32" s="335"/>
      <c r="BL32" s="335"/>
      <c r="BM32" s="244"/>
    </row>
    <row r="33" spans="1:65" s="77" customFormat="1" ht="12" customHeight="1">
      <c r="A33" s="330"/>
      <c r="B33" s="326"/>
      <c r="C33" s="330"/>
      <c r="D33" s="190"/>
      <c r="E33" s="190"/>
      <c r="F33" s="190"/>
      <c r="G33" s="190"/>
      <c r="H33" s="190"/>
      <c r="I33" s="190"/>
      <c r="J33" s="190"/>
      <c r="K33" s="126"/>
      <c r="L33" s="126"/>
      <c r="M33" s="126"/>
      <c r="N33" s="126"/>
      <c r="O33" s="126"/>
      <c r="P33" s="126"/>
      <c r="Q33" s="126"/>
      <c r="R33" s="336"/>
      <c r="S33" s="336"/>
      <c r="T33" s="190"/>
      <c r="U33" s="190"/>
      <c r="V33" s="190"/>
      <c r="W33" s="190"/>
      <c r="X33" s="190"/>
      <c r="Y33" s="190"/>
      <c r="Z33" s="190"/>
      <c r="AA33" s="190"/>
      <c r="AB33" s="336"/>
      <c r="AC33" s="336"/>
      <c r="AD33" s="336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336"/>
      <c r="AV33" s="223"/>
      <c r="AW33" s="223"/>
      <c r="AX33" s="336"/>
      <c r="AY33" s="336"/>
      <c r="AZ33" s="343"/>
      <c r="BA33" s="190"/>
      <c r="BB33" s="336"/>
      <c r="BC33" s="223"/>
      <c r="BD33" s="190"/>
      <c r="BE33" s="190"/>
      <c r="BF33" s="190"/>
      <c r="BG33" s="190"/>
      <c r="BH33" s="190"/>
      <c r="BI33" s="336"/>
      <c r="BJ33" s="336"/>
      <c r="BK33" s="336"/>
      <c r="BL33" s="336"/>
      <c r="BM33" s="175"/>
    </row>
    <row r="34" spans="1:65" s="26" customFormat="1" ht="12" customHeight="1">
      <c r="A34" s="142">
        <v>11</v>
      </c>
      <c r="B34" s="148" t="s">
        <v>21</v>
      </c>
      <c r="C34" s="142">
        <f>SUM(C4:C29)</f>
        <v>25668.950000000004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</row>
    <row r="35" spans="3:66" ht="12.75">
      <c r="C35" s="149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1"/>
      <c r="BB35" s="151"/>
      <c r="BC35" s="151"/>
      <c r="BD35" s="151"/>
      <c r="BE35" s="150"/>
      <c r="BF35" s="150"/>
      <c r="BG35" s="151"/>
      <c r="BH35" s="151"/>
      <c r="BI35" s="151"/>
      <c r="BJ35" s="151"/>
      <c r="BK35" s="151"/>
      <c r="BL35" s="151"/>
      <c r="BM35" s="151"/>
      <c r="BN35" s="65"/>
    </row>
    <row r="36" spans="3:66" ht="12.75">
      <c r="C36" s="149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1"/>
      <c r="BB36" s="151"/>
      <c r="BC36" s="151"/>
      <c r="BD36" s="151"/>
      <c r="BE36" s="150"/>
      <c r="BF36" s="150"/>
      <c r="BG36" s="151"/>
      <c r="BH36" s="151"/>
      <c r="BI36" s="151"/>
      <c r="BJ36" s="151"/>
      <c r="BK36" s="151"/>
      <c r="BL36" s="151"/>
      <c r="BM36" s="151"/>
      <c r="BN36" s="65"/>
    </row>
    <row r="37" spans="3:66" ht="12.75"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1"/>
      <c r="BB37" s="151"/>
      <c r="BC37" s="151"/>
      <c r="BD37" s="151"/>
      <c r="BE37" s="150"/>
      <c r="BF37" s="150"/>
      <c r="BG37" s="151"/>
      <c r="BH37" s="151"/>
      <c r="BI37" s="151"/>
      <c r="BJ37" s="151"/>
      <c r="BK37" s="151"/>
      <c r="BL37" s="151"/>
      <c r="BM37" s="151"/>
      <c r="BN37" s="150"/>
    </row>
    <row r="38" spans="3:66" ht="12.75"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1"/>
      <c r="BB38" s="151"/>
      <c r="BC38" s="151"/>
      <c r="BD38" s="151"/>
      <c r="BE38" s="150"/>
      <c r="BF38" s="150"/>
      <c r="BG38" s="151"/>
      <c r="BH38" s="151"/>
      <c r="BI38" s="151"/>
      <c r="BJ38" s="151"/>
      <c r="BK38" s="151"/>
      <c r="BL38" s="151"/>
      <c r="BM38" s="151"/>
      <c r="BN38" s="150"/>
    </row>
    <row r="39" spans="3:66" ht="12.75"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1"/>
      <c r="BB39" s="151"/>
      <c r="BC39" s="151"/>
      <c r="BD39" s="151"/>
      <c r="BE39" s="150"/>
      <c r="BF39" s="150"/>
      <c r="BG39" s="151"/>
      <c r="BH39" s="151"/>
      <c r="BI39" s="151"/>
      <c r="BJ39" s="151"/>
      <c r="BK39" s="151"/>
      <c r="BL39" s="151"/>
      <c r="BM39" s="151"/>
      <c r="BN39" s="150"/>
    </row>
    <row r="40" spans="3:66" ht="12.75"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1"/>
      <c r="BB40" s="151"/>
      <c r="BC40" s="151"/>
      <c r="BD40" s="151"/>
      <c r="BE40" s="150"/>
      <c r="BF40" s="150"/>
      <c r="BG40" s="151"/>
      <c r="BH40" s="151"/>
      <c r="BI40" s="151"/>
      <c r="BJ40" s="151"/>
      <c r="BK40" s="151"/>
      <c r="BL40" s="151"/>
      <c r="BM40" s="151"/>
      <c r="BN40" s="150"/>
    </row>
    <row r="41" spans="3:66" ht="12.75"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1"/>
      <c r="BB41" s="151"/>
      <c r="BC41" s="151"/>
      <c r="BD41" s="151"/>
      <c r="BE41" s="150"/>
      <c r="BF41" s="150"/>
      <c r="BG41" s="151"/>
      <c r="BH41" s="151"/>
      <c r="BI41" s="151"/>
      <c r="BJ41" s="151"/>
      <c r="BK41" s="151"/>
      <c r="BL41" s="151"/>
      <c r="BM41" s="151"/>
      <c r="BN41" s="150"/>
    </row>
    <row r="42" spans="3:66" ht="12.75"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1"/>
      <c r="BB42" s="151"/>
      <c r="BC42" s="151"/>
      <c r="BD42" s="151"/>
      <c r="BE42" s="150"/>
      <c r="BF42" s="150"/>
      <c r="BG42" s="151"/>
      <c r="BH42" s="151"/>
      <c r="BI42" s="151"/>
      <c r="BJ42" s="151"/>
      <c r="BK42" s="151"/>
      <c r="BL42" s="151"/>
      <c r="BM42" s="151"/>
      <c r="BN42" s="150"/>
    </row>
    <row r="43" spans="3:66" ht="12.75"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1"/>
      <c r="BB43" s="151"/>
      <c r="BC43" s="151"/>
      <c r="BD43" s="151"/>
      <c r="BE43" s="150"/>
      <c r="BF43" s="150"/>
      <c r="BG43" s="151"/>
      <c r="BH43" s="151"/>
      <c r="BI43" s="151"/>
      <c r="BJ43" s="151"/>
      <c r="BK43" s="151"/>
      <c r="BL43" s="151"/>
      <c r="BM43" s="151"/>
      <c r="BN43" s="150"/>
    </row>
    <row r="44" spans="3:66" ht="12.75"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1"/>
      <c r="BB44" s="151"/>
      <c r="BC44" s="151"/>
      <c r="BD44" s="151"/>
      <c r="BE44" s="150"/>
      <c r="BF44" s="150"/>
      <c r="BG44" s="151"/>
      <c r="BH44" s="151"/>
      <c r="BI44" s="151"/>
      <c r="BJ44" s="151"/>
      <c r="BK44" s="151"/>
      <c r="BL44" s="151"/>
      <c r="BM44" s="151"/>
      <c r="BN44" s="150"/>
    </row>
    <row r="45" spans="3:66" ht="12.75"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1"/>
      <c r="BB45" s="151"/>
      <c r="BC45" s="151"/>
      <c r="BD45" s="151"/>
      <c r="BE45" s="150"/>
      <c r="BF45" s="150"/>
      <c r="BG45" s="151"/>
      <c r="BH45" s="151"/>
      <c r="BI45" s="151"/>
      <c r="BJ45" s="151"/>
      <c r="BK45" s="151"/>
      <c r="BL45" s="151"/>
      <c r="BM45" s="151"/>
      <c r="BN45" s="150"/>
    </row>
    <row r="46" spans="3:66" ht="12.75"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1"/>
      <c r="BB46" s="151"/>
      <c r="BC46" s="151"/>
      <c r="BD46" s="151"/>
      <c r="BE46" s="150"/>
      <c r="BF46" s="150"/>
      <c r="BG46" s="151"/>
      <c r="BH46" s="151"/>
      <c r="BI46" s="151"/>
      <c r="BJ46" s="151"/>
      <c r="BK46" s="151"/>
      <c r="BL46" s="151"/>
      <c r="BM46" s="151"/>
      <c r="BN46" s="150"/>
    </row>
    <row r="47" spans="3:66" ht="12.75"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1"/>
      <c r="BB47" s="151"/>
      <c r="BC47" s="151"/>
      <c r="BD47" s="151"/>
      <c r="BE47" s="150"/>
      <c r="BF47" s="150"/>
      <c r="BG47" s="151"/>
      <c r="BH47" s="151"/>
      <c r="BI47" s="151"/>
      <c r="BJ47" s="151"/>
      <c r="BK47" s="151"/>
      <c r="BL47" s="151"/>
      <c r="BM47" s="151"/>
      <c r="BN47" s="150"/>
    </row>
    <row r="48" spans="3:66" ht="12.75"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1"/>
      <c r="BB48" s="151"/>
      <c r="BC48" s="151"/>
      <c r="BD48" s="151"/>
      <c r="BE48" s="150"/>
      <c r="BF48" s="150"/>
      <c r="BG48" s="151"/>
      <c r="BH48" s="151"/>
      <c r="BI48" s="151"/>
      <c r="BJ48" s="151"/>
      <c r="BK48" s="151"/>
      <c r="BL48" s="151"/>
      <c r="BM48" s="151"/>
      <c r="BN48" s="150"/>
    </row>
    <row r="49" spans="3:66" ht="12.75"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1"/>
      <c r="BB49" s="151"/>
      <c r="BC49" s="151"/>
      <c r="BD49" s="151"/>
      <c r="BE49" s="150"/>
      <c r="BF49" s="150"/>
      <c r="BG49" s="151"/>
      <c r="BH49" s="151"/>
      <c r="BI49" s="151"/>
      <c r="BJ49" s="151"/>
      <c r="BK49" s="151"/>
      <c r="BL49" s="151"/>
      <c r="BM49" s="151"/>
      <c r="BN49" s="150"/>
    </row>
    <row r="50" spans="3:66" ht="12.75"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1"/>
      <c r="BB50" s="151"/>
      <c r="BC50" s="151"/>
      <c r="BD50" s="151"/>
      <c r="BE50" s="150"/>
      <c r="BF50" s="150"/>
      <c r="BG50" s="151"/>
      <c r="BH50" s="151"/>
      <c r="BI50" s="151"/>
      <c r="BJ50" s="151"/>
      <c r="BK50" s="151"/>
      <c r="BL50" s="151"/>
      <c r="BM50" s="151"/>
      <c r="BN50" s="150"/>
    </row>
    <row r="51" spans="3:66" ht="12.75"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1"/>
      <c r="BB51" s="151"/>
      <c r="BC51" s="151"/>
      <c r="BD51" s="151"/>
      <c r="BE51" s="150"/>
      <c r="BF51" s="150"/>
      <c r="BG51" s="151"/>
      <c r="BH51" s="151"/>
      <c r="BI51" s="151"/>
      <c r="BJ51" s="151"/>
      <c r="BK51" s="151"/>
      <c r="BL51" s="151"/>
      <c r="BM51" s="151"/>
      <c r="BN51" s="150"/>
    </row>
    <row r="52" spans="3:66" ht="12.75"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1"/>
      <c r="BB52" s="151"/>
      <c r="BC52" s="151"/>
      <c r="BD52" s="151"/>
      <c r="BE52" s="150"/>
      <c r="BF52" s="150"/>
      <c r="BG52" s="151"/>
      <c r="BH52" s="151"/>
      <c r="BI52" s="151"/>
      <c r="BJ52" s="151"/>
      <c r="BK52" s="151"/>
      <c r="BL52" s="151"/>
      <c r="BM52" s="151"/>
      <c r="BN52" s="150"/>
    </row>
    <row r="53" spans="3:66" ht="12.75"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1"/>
      <c r="BB53" s="151"/>
      <c r="BC53" s="151"/>
      <c r="BD53" s="151"/>
      <c r="BE53" s="150"/>
      <c r="BF53" s="150"/>
      <c r="BG53" s="151"/>
      <c r="BH53" s="151"/>
      <c r="BI53" s="151"/>
      <c r="BJ53" s="151"/>
      <c r="BK53" s="151"/>
      <c r="BL53" s="151"/>
      <c r="BM53" s="151"/>
      <c r="BN53" s="150"/>
    </row>
    <row r="54" spans="3:66" ht="12.75"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1"/>
      <c r="BB54" s="151"/>
      <c r="BC54" s="151"/>
      <c r="BD54" s="151"/>
      <c r="BE54" s="150"/>
      <c r="BF54" s="150"/>
      <c r="BG54" s="151"/>
      <c r="BH54" s="151"/>
      <c r="BI54" s="151"/>
      <c r="BJ54" s="151"/>
      <c r="BK54" s="151"/>
      <c r="BL54" s="151"/>
      <c r="BM54" s="151"/>
      <c r="BN54" s="150"/>
    </row>
    <row r="55" spans="3:66" ht="12.75"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1"/>
      <c r="BB55" s="151"/>
      <c r="BC55" s="151"/>
      <c r="BD55" s="151"/>
      <c r="BE55" s="150"/>
      <c r="BF55" s="150"/>
      <c r="BG55" s="151"/>
      <c r="BH55" s="151"/>
      <c r="BI55" s="151"/>
      <c r="BJ55" s="151"/>
      <c r="BK55" s="151"/>
      <c r="BL55" s="151"/>
      <c r="BM55" s="151"/>
      <c r="BN55" s="150"/>
    </row>
    <row r="56" spans="3:66" ht="12.75"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1"/>
      <c r="BB56" s="151"/>
      <c r="BC56" s="151"/>
      <c r="BD56" s="151"/>
      <c r="BE56" s="150"/>
      <c r="BF56" s="150"/>
      <c r="BG56" s="151"/>
      <c r="BH56" s="151"/>
      <c r="BI56" s="151"/>
      <c r="BJ56" s="151"/>
      <c r="BK56" s="151"/>
      <c r="BL56" s="151"/>
      <c r="BM56" s="151"/>
      <c r="BN56" s="150"/>
    </row>
    <row r="57" spans="3:66" ht="12.75"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1"/>
      <c r="BB57" s="151"/>
      <c r="BC57" s="151"/>
      <c r="BD57" s="151"/>
      <c r="BE57" s="150"/>
      <c r="BF57" s="150"/>
      <c r="BG57" s="151"/>
      <c r="BH57" s="151"/>
      <c r="BI57" s="151"/>
      <c r="BJ57" s="151"/>
      <c r="BK57" s="151"/>
      <c r="BL57" s="151"/>
      <c r="BM57" s="151"/>
      <c r="BN57" s="150"/>
    </row>
    <row r="58" spans="3:66" ht="12.75"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1"/>
      <c r="BB58" s="151"/>
      <c r="BC58" s="151"/>
      <c r="BD58" s="151"/>
      <c r="BE58" s="150"/>
      <c r="BF58" s="150"/>
      <c r="BG58" s="151"/>
      <c r="BH58" s="151"/>
      <c r="BI58" s="151"/>
      <c r="BJ58" s="151"/>
      <c r="BK58" s="151"/>
      <c r="BL58" s="151"/>
      <c r="BM58" s="151"/>
      <c r="BN58" s="150"/>
    </row>
    <row r="59" spans="3:66" ht="12.75"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1"/>
      <c r="BB59" s="151"/>
      <c r="BC59" s="151"/>
      <c r="BD59" s="151"/>
      <c r="BE59" s="150"/>
      <c r="BF59" s="150"/>
      <c r="BG59" s="151"/>
      <c r="BH59" s="151"/>
      <c r="BI59" s="151"/>
      <c r="BJ59" s="151"/>
      <c r="BK59" s="151"/>
      <c r="BL59" s="151"/>
      <c r="BM59" s="151"/>
      <c r="BN59" s="150"/>
    </row>
    <row r="60" spans="3:66" ht="12.75"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1"/>
      <c r="BB60" s="151"/>
      <c r="BC60" s="151"/>
      <c r="BD60" s="151"/>
      <c r="BE60" s="150"/>
      <c r="BF60" s="150"/>
      <c r="BG60" s="151"/>
      <c r="BH60" s="151"/>
      <c r="BI60" s="151"/>
      <c r="BJ60" s="151"/>
      <c r="BK60" s="151"/>
      <c r="BL60" s="151"/>
      <c r="BM60" s="151"/>
      <c r="BN60" s="150"/>
    </row>
    <row r="61" spans="3:66" ht="12.75"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1"/>
      <c r="BB61" s="151"/>
      <c r="BC61" s="151"/>
      <c r="BD61" s="151"/>
      <c r="BE61" s="150"/>
      <c r="BF61" s="150"/>
      <c r="BG61" s="151"/>
      <c r="BH61" s="151"/>
      <c r="BI61" s="151"/>
      <c r="BJ61" s="151"/>
      <c r="BK61" s="151"/>
      <c r="BL61" s="151"/>
      <c r="BM61" s="151"/>
      <c r="BN61" s="150"/>
    </row>
    <row r="62" spans="3:66" ht="12.75"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3"/>
      <c r="BB62" s="153"/>
      <c r="BC62" s="153"/>
      <c r="BD62" s="153"/>
      <c r="BE62" s="152"/>
      <c r="BF62" s="152"/>
      <c r="BG62" s="153"/>
      <c r="BH62" s="153"/>
      <c r="BI62" s="153"/>
      <c r="BJ62" s="153"/>
      <c r="BK62" s="153"/>
      <c r="BL62" s="153"/>
      <c r="BM62" s="153"/>
      <c r="BN62" s="152"/>
    </row>
  </sheetData>
  <sheetProtection/>
  <autoFilter ref="A1:BM34"/>
  <mergeCells count="188">
    <mergeCell ref="BJ4:BJ6"/>
    <mergeCell ref="BJ29:BJ33"/>
    <mergeCell ref="BJ19:BJ20"/>
    <mergeCell ref="AD26:AD28"/>
    <mergeCell ref="AD29:AD33"/>
    <mergeCell ref="AG2:AI2"/>
    <mergeCell ref="BC21:BC24"/>
    <mergeCell ref="AD4:AD6"/>
    <mergeCell ref="AD7:AD9"/>
    <mergeCell ref="AD10:AD11"/>
    <mergeCell ref="AD14:AD16"/>
    <mergeCell ref="AD17:AD18"/>
    <mergeCell ref="AD19:AD20"/>
    <mergeCell ref="AD21:AD24"/>
    <mergeCell ref="BB29:BB33"/>
    <mergeCell ref="BB14:BB16"/>
    <mergeCell ref="BB17:BB18"/>
    <mergeCell ref="AX26:AX28"/>
    <mergeCell ref="AX29:AX33"/>
    <mergeCell ref="AV2:AW2"/>
    <mergeCell ref="AV4:AV6"/>
    <mergeCell ref="AW4:AW6"/>
    <mergeCell ref="AZ29:AZ33"/>
    <mergeCell ref="AZ4:AZ6"/>
    <mergeCell ref="H21:H24"/>
    <mergeCell ref="AB4:AB6"/>
    <mergeCell ref="AB7:AB9"/>
    <mergeCell ref="AB10:AB11"/>
    <mergeCell ref="AB12:AB13"/>
    <mergeCell ref="AB26:AB28"/>
    <mergeCell ref="AB29:AB33"/>
    <mergeCell ref="BM4:BM6"/>
    <mergeCell ref="BM7:BM9"/>
    <mergeCell ref="BM10:BM11"/>
    <mergeCell ref="BM12:BM13"/>
    <mergeCell ref="BM14:BM16"/>
    <mergeCell ref="BK29:BK33"/>
    <mergeCell ref="BL29:BL33"/>
    <mergeCell ref="AD12:AD13"/>
    <mergeCell ref="AB14:AB16"/>
    <mergeCell ref="AB21:AB24"/>
    <mergeCell ref="BK19:BK20"/>
    <mergeCell ref="BL19:BL20"/>
    <mergeCell ref="BK21:BK24"/>
    <mergeCell ref="BL21:BL24"/>
    <mergeCell ref="AC19:AC20"/>
    <mergeCell ref="AC21:AC24"/>
    <mergeCell ref="BI19:BI20"/>
    <mergeCell ref="BI21:BI24"/>
    <mergeCell ref="BM17:BM18"/>
    <mergeCell ref="BM19:BM20"/>
    <mergeCell ref="BM21:BM24"/>
    <mergeCell ref="BK26:BK28"/>
    <mergeCell ref="BL26:BL28"/>
    <mergeCell ref="BM26:BM28"/>
    <mergeCell ref="BK12:BK13"/>
    <mergeCell ref="BL12:BL13"/>
    <mergeCell ref="BK14:BK16"/>
    <mergeCell ref="BL14:BL16"/>
    <mergeCell ref="BK17:BK18"/>
    <mergeCell ref="BL17:BL18"/>
    <mergeCell ref="BK4:BK6"/>
    <mergeCell ref="BL4:BL6"/>
    <mergeCell ref="BK7:BK9"/>
    <mergeCell ref="BL7:BL9"/>
    <mergeCell ref="BK10:BK11"/>
    <mergeCell ref="BL10:BL11"/>
    <mergeCell ref="R29:R33"/>
    <mergeCell ref="AU4:AU6"/>
    <mergeCell ref="AU7:AU9"/>
    <mergeCell ref="AU10:AU11"/>
    <mergeCell ref="AU12:AU13"/>
    <mergeCell ref="AU14:AU16"/>
    <mergeCell ref="AU17:AU18"/>
    <mergeCell ref="AU19:AU20"/>
    <mergeCell ref="AU21:AU24"/>
    <mergeCell ref="AU29:AU33"/>
    <mergeCell ref="AC29:AC33"/>
    <mergeCell ref="R4:R6"/>
    <mergeCell ref="R7:R9"/>
    <mergeCell ref="R10:R11"/>
    <mergeCell ref="R12:R13"/>
    <mergeCell ref="R14:R16"/>
    <mergeCell ref="R17:R18"/>
    <mergeCell ref="R19:R20"/>
    <mergeCell ref="R21:R24"/>
    <mergeCell ref="R26:R28"/>
    <mergeCell ref="AC4:AC6"/>
    <mergeCell ref="AC7:AC9"/>
    <mergeCell ref="AC10:AC11"/>
    <mergeCell ref="AC12:AC13"/>
    <mergeCell ref="AC14:AC16"/>
    <mergeCell ref="AC17:AC18"/>
    <mergeCell ref="AC26:AC28"/>
    <mergeCell ref="S26:S28"/>
    <mergeCell ref="S29:S33"/>
    <mergeCell ref="AZ26:AZ28"/>
    <mergeCell ref="AU26:AU28"/>
    <mergeCell ref="S21:S24"/>
    <mergeCell ref="AZ21:AZ24"/>
    <mergeCell ref="AY21:AY24"/>
    <mergeCell ref="AY26:AY28"/>
    <mergeCell ref="AY29:AY33"/>
    <mergeCell ref="AZ7:AZ9"/>
    <mergeCell ref="AZ10:AZ11"/>
    <mergeCell ref="AZ12:AZ13"/>
    <mergeCell ref="AZ14:AZ16"/>
    <mergeCell ref="AZ17:AZ18"/>
    <mergeCell ref="S19:S20"/>
    <mergeCell ref="AZ19:AZ20"/>
    <mergeCell ref="AB17:AB18"/>
    <mergeCell ref="AB19:AB20"/>
    <mergeCell ref="AY19:AY20"/>
    <mergeCell ref="AP2:AR2"/>
    <mergeCell ref="AS2:AT2"/>
    <mergeCell ref="BD2:BE2"/>
    <mergeCell ref="BF2:BG2"/>
    <mergeCell ref="S14:S16"/>
    <mergeCell ref="S17:S18"/>
    <mergeCell ref="AX4:AX6"/>
    <mergeCell ref="AX7:AX9"/>
    <mergeCell ref="S10:S11"/>
    <mergeCell ref="S12:S13"/>
    <mergeCell ref="Z2:AA2"/>
    <mergeCell ref="V2:W2"/>
    <mergeCell ref="X2:Y2"/>
    <mergeCell ref="AE2:AF2"/>
    <mergeCell ref="AJ2:AL2"/>
    <mergeCell ref="AM2:AO2"/>
    <mergeCell ref="C7:C9"/>
    <mergeCell ref="T2:U2"/>
    <mergeCell ref="S4:S6"/>
    <mergeCell ref="S7:S9"/>
    <mergeCell ref="P2:Q2"/>
    <mergeCell ref="N2:O2"/>
    <mergeCell ref="I2:J2"/>
    <mergeCell ref="L2:M2"/>
    <mergeCell ref="F2:G2"/>
    <mergeCell ref="B10:B11"/>
    <mergeCell ref="A29:A33"/>
    <mergeCell ref="C29:C33"/>
    <mergeCell ref="A26:A28"/>
    <mergeCell ref="A4:A6"/>
    <mergeCell ref="B7:B9"/>
    <mergeCell ref="A12:A13"/>
    <mergeCell ref="B14:B16"/>
    <mergeCell ref="C10:C11"/>
    <mergeCell ref="B29:B33"/>
    <mergeCell ref="A14:A16"/>
    <mergeCell ref="A7:A9"/>
    <mergeCell ref="D2:E2"/>
    <mergeCell ref="A19:A20"/>
    <mergeCell ref="A21:A24"/>
    <mergeCell ref="B19:B20"/>
    <mergeCell ref="A10:A11"/>
    <mergeCell ref="A17:A18"/>
    <mergeCell ref="C21:C24"/>
    <mergeCell ref="C12:C13"/>
    <mergeCell ref="C26:C28"/>
    <mergeCell ref="B26:B28"/>
    <mergeCell ref="B4:B6"/>
    <mergeCell ref="B12:B13"/>
    <mergeCell ref="C4:C6"/>
    <mergeCell ref="C14:C16"/>
    <mergeCell ref="B17:B18"/>
    <mergeCell ref="B21:B24"/>
    <mergeCell ref="C19:C20"/>
    <mergeCell ref="C17:C18"/>
    <mergeCell ref="AX10:AX11"/>
    <mergeCell ref="AX12:AX13"/>
    <mergeCell ref="AX14:AX16"/>
    <mergeCell ref="AX17:AX18"/>
    <mergeCell ref="AX19:AX20"/>
    <mergeCell ref="AX21:AX24"/>
    <mergeCell ref="AY4:AY6"/>
    <mergeCell ref="AY7:AY9"/>
    <mergeCell ref="AY10:AY11"/>
    <mergeCell ref="AY12:AY13"/>
    <mergeCell ref="AY14:AY16"/>
    <mergeCell ref="AY17:AY18"/>
    <mergeCell ref="BI26:BI28"/>
    <mergeCell ref="BI29:BI33"/>
    <mergeCell ref="BI4:BI6"/>
    <mergeCell ref="BI7:BI9"/>
    <mergeCell ref="BI10:BI11"/>
    <mergeCell ref="BI12:BI13"/>
    <mergeCell ref="BI14:BI16"/>
    <mergeCell ref="BI17:BI18"/>
  </mergeCells>
  <printOptions/>
  <pageMargins left="0.17" right="0.25" top="0.3937007874015748" bottom="0.3937007874015748" header="0" footer="0"/>
  <pageSetup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N22"/>
  <sheetViews>
    <sheetView zoomScale="80" zoomScaleNormal="80" zoomScalePageLayoutView="0" workbookViewId="0" topLeftCell="A1">
      <pane xSplit="3" topLeftCell="D1" activePane="topRight" state="frozen"/>
      <selection pane="topLeft" activeCell="A1" sqref="A1"/>
      <selection pane="topRight" activeCell="AE1" sqref="AE1:AF16384"/>
    </sheetView>
  </sheetViews>
  <sheetFormatPr defaultColWidth="9.140625" defaultRowHeight="12.75"/>
  <cols>
    <col min="1" max="1" width="6.28125" style="27" customWidth="1"/>
    <col min="2" max="2" width="19.7109375" style="26" customWidth="1"/>
    <col min="3" max="3" width="9.140625" style="26" customWidth="1"/>
    <col min="4" max="4" width="9.421875" style="26" hidden="1" customWidth="1"/>
    <col min="5" max="5" width="9.57421875" style="26" customWidth="1"/>
    <col min="6" max="6" width="11.421875" style="26" hidden="1" customWidth="1"/>
    <col min="7" max="7" width="8.28125" style="26" hidden="1" customWidth="1"/>
    <col min="8" max="8" width="9.421875" style="26" hidden="1" customWidth="1"/>
    <col min="9" max="9" width="10.57421875" style="26" hidden="1" customWidth="1"/>
    <col min="10" max="10" width="10.57421875" style="26" customWidth="1"/>
    <col min="11" max="11" width="8.421875" style="26" hidden="1" customWidth="1"/>
    <col min="12" max="12" width="7.00390625" style="26" customWidth="1"/>
    <col min="13" max="13" width="8.140625" style="26" customWidth="1"/>
    <col min="14" max="15" width="8.140625" style="26" hidden="1" customWidth="1"/>
    <col min="16" max="16" width="8.7109375" style="26" customWidth="1"/>
    <col min="17" max="17" width="7.8515625" style="26" customWidth="1"/>
    <col min="18" max="18" width="9.8515625" style="26" customWidth="1"/>
    <col min="19" max="19" width="9.421875" style="26" hidden="1" customWidth="1"/>
    <col min="20" max="20" width="7.7109375" style="26" hidden="1" customWidth="1"/>
    <col min="21" max="21" width="8.421875" style="26" hidden="1" customWidth="1"/>
    <col min="22" max="23" width="8.421875" style="26" customWidth="1"/>
    <col min="24" max="24" width="13.28125" style="26" customWidth="1"/>
    <col min="25" max="26" width="11.140625" style="26" hidden="1" customWidth="1"/>
    <col min="27" max="27" width="8.28125" style="26" hidden="1" customWidth="1"/>
    <col min="28" max="28" width="9.7109375" style="27" hidden="1" customWidth="1"/>
    <col min="29" max="30" width="9.7109375" style="27" customWidth="1"/>
    <col min="31" max="31" width="7.7109375" style="27" hidden="1" customWidth="1"/>
    <col min="32" max="32" width="10.421875" style="26" hidden="1" customWidth="1"/>
    <col min="33" max="33" width="15.57421875" style="26" customWidth="1"/>
    <col min="34" max="35" width="9.140625" style="27" customWidth="1"/>
    <col min="36" max="36" width="10.7109375" style="27" customWidth="1"/>
    <col min="37" max="37" width="11.8515625" style="27" customWidth="1"/>
    <col min="38" max="39" width="10.7109375" style="27" customWidth="1"/>
  </cols>
  <sheetData>
    <row r="1" spans="1:39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5"/>
      <c r="AC1" s="35"/>
      <c r="AD1" s="35"/>
      <c r="AE1" s="35"/>
      <c r="AF1" s="2"/>
      <c r="AG1" s="2"/>
      <c r="AH1" s="35"/>
      <c r="AI1" s="35"/>
      <c r="AJ1" s="35"/>
      <c r="AK1" s="35"/>
      <c r="AL1" s="35"/>
      <c r="AM1" s="35"/>
    </row>
    <row r="2" spans="1:40" ht="90" customHeight="1">
      <c r="A2" s="38" t="s">
        <v>0</v>
      </c>
      <c r="B2" s="38" t="s">
        <v>1</v>
      </c>
      <c r="C2" s="38" t="s">
        <v>2</v>
      </c>
      <c r="D2" s="38" t="s">
        <v>56</v>
      </c>
      <c r="E2" s="42" t="s">
        <v>58</v>
      </c>
      <c r="F2" s="42" t="s">
        <v>102</v>
      </c>
      <c r="G2" s="38" t="s">
        <v>104</v>
      </c>
      <c r="H2" s="38" t="s">
        <v>105</v>
      </c>
      <c r="I2" s="42" t="s">
        <v>161</v>
      </c>
      <c r="J2" s="42" t="s">
        <v>160</v>
      </c>
      <c r="K2" s="42" t="s">
        <v>117</v>
      </c>
      <c r="L2" s="315" t="s">
        <v>107</v>
      </c>
      <c r="M2" s="316"/>
      <c r="N2" s="315" t="s">
        <v>97</v>
      </c>
      <c r="O2" s="316"/>
      <c r="P2" s="315" t="s">
        <v>60</v>
      </c>
      <c r="Q2" s="333"/>
      <c r="R2" s="316"/>
      <c r="S2" s="315" t="s">
        <v>61</v>
      </c>
      <c r="T2" s="333"/>
      <c r="U2" s="316"/>
      <c r="V2" s="315" t="s">
        <v>148</v>
      </c>
      <c r="W2" s="316"/>
      <c r="X2" s="38" t="s">
        <v>110</v>
      </c>
      <c r="Y2" s="42" t="s">
        <v>111</v>
      </c>
      <c r="Z2" s="38" t="s">
        <v>112</v>
      </c>
      <c r="AA2" s="38" t="s">
        <v>94</v>
      </c>
      <c r="AB2" s="38" t="s">
        <v>57</v>
      </c>
      <c r="AC2" s="42" t="s">
        <v>139</v>
      </c>
      <c r="AD2" s="42" t="s">
        <v>142</v>
      </c>
      <c r="AE2" s="315" t="s">
        <v>98</v>
      </c>
      <c r="AF2" s="316"/>
      <c r="AG2" s="138" t="s">
        <v>212</v>
      </c>
      <c r="AH2" s="138" t="s">
        <v>217</v>
      </c>
      <c r="AI2" s="138" t="s">
        <v>219</v>
      </c>
      <c r="AJ2" s="138" t="s">
        <v>221</v>
      </c>
      <c r="AK2" s="138" t="s">
        <v>218</v>
      </c>
      <c r="AL2" s="138" t="s">
        <v>211</v>
      </c>
      <c r="AM2" s="138" t="s">
        <v>210</v>
      </c>
      <c r="AN2" s="138" t="s">
        <v>162</v>
      </c>
    </row>
    <row r="3" spans="1:40" ht="23.25" customHeight="1">
      <c r="A3" s="39"/>
      <c r="B3" s="40"/>
      <c r="C3" s="40"/>
      <c r="D3" s="38" t="s">
        <v>86</v>
      </c>
      <c r="E3" s="38"/>
      <c r="F3" s="38"/>
      <c r="G3" s="38"/>
      <c r="H3" s="38" t="s">
        <v>77</v>
      </c>
      <c r="I3" s="38"/>
      <c r="J3" s="38"/>
      <c r="K3" s="38" t="s">
        <v>77</v>
      </c>
      <c r="L3" s="38" t="s">
        <v>96</v>
      </c>
      <c r="M3" s="38" t="s">
        <v>90</v>
      </c>
      <c r="N3" s="38" t="s">
        <v>96</v>
      </c>
      <c r="O3" s="38" t="s">
        <v>90</v>
      </c>
      <c r="P3" s="38" t="s">
        <v>63</v>
      </c>
      <c r="Q3" s="38" t="s">
        <v>65</v>
      </c>
      <c r="R3" s="38" t="s">
        <v>86</v>
      </c>
      <c r="S3" s="38" t="s">
        <v>63</v>
      </c>
      <c r="T3" s="38" t="s">
        <v>65</v>
      </c>
      <c r="U3" s="38" t="s">
        <v>90</v>
      </c>
      <c r="V3" s="38" t="s">
        <v>63</v>
      </c>
      <c r="W3" s="38" t="s">
        <v>65</v>
      </c>
      <c r="X3" s="38" t="s">
        <v>76</v>
      </c>
      <c r="Y3" s="38"/>
      <c r="Z3" s="38"/>
      <c r="AA3" s="38"/>
      <c r="AB3" s="38"/>
      <c r="AC3" s="38"/>
      <c r="AD3" s="38"/>
      <c r="AE3" s="38" t="s">
        <v>65</v>
      </c>
      <c r="AF3" s="38" t="s">
        <v>90</v>
      </c>
      <c r="AG3" s="38"/>
      <c r="AH3" s="137"/>
      <c r="AI3" s="137" t="s">
        <v>77</v>
      </c>
      <c r="AJ3" s="137" t="s">
        <v>77</v>
      </c>
      <c r="AK3" s="137"/>
      <c r="AL3" s="137"/>
      <c r="AM3" s="137" t="s">
        <v>77</v>
      </c>
      <c r="AN3" s="269"/>
    </row>
    <row r="4" spans="1:40" ht="12" customHeight="1">
      <c r="A4" s="178" t="s">
        <v>87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269"/>
    </row>
    <row r="5" spans="1:40" s="46" customFormat="1" ht="22.5" customHeight="1">
      <c r="A5" s="313">
        <v>1</v>
      </c>
      <c r="B5" s="323" t="s">
        <v>84</v>
      </c>
      <c r="C5" s="313">
        <v>3408</v>
      </c>
      <c r="D5" s="120"/>
      <c r="E5" s="317" t="s">
        <v>100</v>
      </c>
      <c r="F5" s="317"/>
      <c r="G5" s="317"/>
      <c r="H5" s="120"/>
      <c r="I5" s="317"/>
      <c r="J5" s="317" t="s">
        <v>100</v>
      </c>
      <c r="K5" s="120"/>
      <c r="L5" s="129"/>
      <c r="M5" s="129"/>
      <c r="N5" s="129"/>
      <c r="O5" s="129"/>
      <c r="P5" s="120" t="s">
        <v>189</v>
      </c>
      <c r="Q5" s="129">
        <v>6</v>
      </c>
      <c r="R5" s="120" t="s">
        <v>163</v>
      </c>
      <c r="S5" s="120"/>
      <c r="T5" s="129"/>
      <c r="U5" s="120"/>
      <c r="V5" s="120"/>
      <c r="W5" s="120"/>
      <c r="X5" s="129">
        <v>0.7</v>
      </c>
      <c r="Y5" s="317"/>
      <c r="Z5" s="317"/>
      <c r="AA5" s="317"/>
      <c r="AB5" s="131"/>
      <c r="AC5" s="131"/>
      <c r="AD5" s="131"/>
      <c r="AE5" s="129"/>
      <c r="AF5" s="129"/>
      <c r="AG5" s="317" t="s">
        <v>100</v>
      </c>
      <c r="AH5" s="317" t="s">
        <v>100</v>
      </c>
      <c r="AI5" s="317">
        <v>1</v>
      </c>
      <c r="AJ5" s="313">
        <v>6</v>
      </c>
      <c r="AK5" s="317" t="s">
        <v>100</v>
      </c>
      <c r="AL5" s="317" t="s">
        <v>100</v>
      </c>
      <c r="AM5" s="313">
        <v>1</v>
      </c>
      <c r="AN5" s="349" t="s">
        <v>100</v>
      </c>
    </row>
    <row r="6" spans="1:40" s="46" customFormat="1" ht="27" customHeight="1">
      <c r="A6" s="322"/>
      <c r="B6" s="324"/>
      <c r="C6" s="322"/>
      <c r="D6" s="120"/>
      <c r="E6" s="337"/>
      <c r="F6" s="337"/>
      <c r="G6" s="337"/>
      <c r="H6" s="129"/>
      <c r="I6" s="337"/>
      <c r="J6" s="337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232"/>
      <c r="W6" s="232"/>
      <c r="X6" s="129"/>
      <c r="Y6" s="337"/>
      <c r="Z6" s="337"/>
      <c r="AA6" s="322"/>
      <c r="AB6" s="131"/>
      <c r="AC6" s="131"/>
      <c r="AD6" s="131"/>
      <c r="AE6" s="129"/>
      <c r="AF6" s="129"/>
      <c r="AG6" s="322"/>
      <c r="AH6" s="322"/>
      <c r="AI6" s="337"/>
      <c r="AJ6" s="322"/>
      <c r="AK6" s="322"/>
      <c r="AL6" s="322"/>
      <c r="AM6" s="322"/>
      <c r="AN6" s="350"/>
    </row>
    <row r="7" spans="1:40" s="46" customFormat="1" ht="12" customHeight="1">
      <c r="A7" s="322"/>
      <c r="B7" s="324"/>
      <c r="C7" s="322"/>
      <c r="D7" s="129"/>
      <c r="E7" s="337"/>
      <c r="F7" s="337"/>
      <c r="G7" s="337"/>
      <c r="H7" s="120"/>
      <c r="I7" s="337"/>
      <c r="J7" s="337"/>
      <c r="K7" s="120"/>
      <c r="L7" s="129"/>
      <c r="M7" s="129"/>
      <c r="N7" s="129"/>
      <c r="O7" s="129"/>
      <c r="P7" s="129"/>
      <c r="Q7" s="129"/>
      <c r="R7" s="129"/>
      <c r="S7" s="120"/>
      <c r="T7" s="129"/>
      <c r="U7" s="141"/>
      <c r="V7" s="141"/>
      <c r="W7" s="141"/>
      <c r="X7" s="129"/>
      <c r="Y7" s="337"/>
      <c r="Z7" s="337"/>
      <c r="AA7" s="322"/>
      <c r="AB7" s="130"/>
      <c r="AC7" s="130"/>
      <c r="AD7" s="130"/>
      <c r="AE7" s="120"/>
      <c r="AF7" s="129"/>
      <c r="AG7" s="322"/>
      <c r="AH7" s="322"/>
      <c r="AI7" s="337"/>
      <c r="AJ7" s="322"/>
      <c r="AK7" s="322"/>
      <c r="AL7" s="322"/>
      <c r="AM7" s="322"/>
      <c r="AN7" s="350"/>
    </row>
    <row r="8" spans="1:40" s="46" customFormat="1" ht="12" customHeight="1">
      <c r="A8" s="322"/>
      <c r="B8" s="324"/>
      <c r="C8" s="322"/>
      <c r="D8" s="129"/>
      <c r="E8" s="318"/>
      <c r="F8" s="318"/>
      <c r="G8" s="318"/>
      <c r="H8" s="129"/>
      <c r="I8" s="318"/>
      <c r="J8" s="318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33"/>
      <c r="V8" s="133"/>
      <c r="W8" s="133"/>
      <c r="X8" s="129"/>
      <c r="Y8" s="318"/>
      <c r="Z8" s="318"/>
      <c r="AA8" s="314"/>
      <c r="AB8" s="130"/>
      <c r="AC8" s="130"/>
      <c r="AD8" s="130"/>
      <c r="AE8" s="120"/>
      <c r="AF8" s="129"/>
      <c r="AG8" s="314"/>
      <c r="AH8" s="314"/>
      <c r="AI8" s="318"/>
      <c r="AJ8" s="314"/>
      <c r="AK8" s="314"/>
      <c r="AL8" s="314"/>
      <c r="AM8" s="314"/>
      <c r="AN8" s="351"/>
    </row>
    <row r="9" spans="1:40" s="46" customFormat="1" ht="38.25" customHeight="1">
      <c r="A9" s="329">
        <v>2</v>
      </c>
      <c r="B9" s="325" t="s">
        <v>85</v>
      </c>
      <c r="C9" s="329">
        <v>3435.6</v>
      </c>
      <c r="D9" s="146"/>
      <c r="E9" s="334" t="s">
        <v>100</v>
      </c>
      <c r="F9" s="334"/>
      <c r="G9" s="334"/>
      <c r="H9" s="146"/>
      <c r="I9" s="334"/>
      <c r="J9" s="334" t="s">
        <v>100</v>
      </c>
      <c r="K9" s="146"/>
      <c r="L9" s="146">
        <v>10</v>
      </c>
      <c r="M9" s="126" t="s">
        <v>155</v>
      </c>
      <c r="N9" s="146"/>
      <c r="O9" s="146"/>
      <c r="P9" s="126"/>
      <c r="Q9" s="126"/>
      <c r="R9" s="126"/>
      <c r="S9" s="146"/>
      <c r="T9" s="146"/>
      <c r="U9" s="127"/>
      <c r="V9" s="266" t="s">
        <v>147</v>
      </c>
      <c r="W9" s="266">
        <v>16</v>
      </c>
      <c r="X9" s="329"/>
      <c r="Y9" s="334"/>
      <c r="Z9" s="334"/>
      <c r="AA9" s="334"/>
      <c r="AB9" s="124"/>
      <c r="AC9" s="334" t="s">
        <v>100</v>
      </c>
      <c r="AD9" s="334" t="s">
        <v>100</v>
      </c>
      <c r="AE9" s="126"/>
      <c r="AF9" s="126"/>
      <c r="AG9" s="334" t="s">
        <v>100</v>
      </c>
      <c r="AH9" s="329"/>
      <c r="AI9" s="279"/>
      <c r="AJ9" s="329">
        <v>5</v>
      </c>
      <c r="AK9" s="334" t="s">
        <v>100</v>
      </c>
      <c r="AL9" s="334" t="s">
        <v>100</v>
      </c>
      <c r="AM9" s="329">
        <v>1</v>
      </c>
      <c r="AN9" s="334" t="s">
        <v>100</v>
      </c>
    </row>
    <row r="10" spans="1:40" s="46" customFormat="1" ht="29.25" customHeight="1">
      <c r="A10" s="330"/>
      <c r="B10" s="326"/>
      <c r="C10" s="330"/>
      <c r="D10" s="146"/>
      <c r="E10" s="330"/>
      <c r="F10" s="335"/>
      <c r="G10" s="330"/>
      <c r="H10" s="146"/>
      <c r="I10" s="330"/>
      <c r="J10" s="335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27"/>
      <c r="V10" s="127"/>
      <c r="W10" s="127"/>
      <c r="X10" s="330"/>
      <c r="Y10" s="330"/>
      <c r="Z10" s="335"/>
      <c r="AA10" s="335"/>
      <c r="AB10" s="124"/>
      <c r="AC10" s="330"/>
      <c r="AD10" s="335"/>
      <c r="AE10" s="126"/>
      <c r="AF10" s="126"/>
      <c r="AG10" s="335"/>
      <c r="AH10" s="330"/>
      <c r="AI10" s="272"/>
      <c r="AJ10" s="330"/>
      <c r="AK10" s="330"/>
      <c r="AL10" s="330"/>
      <c r="AM10" s="330"/>
      <c r="AN10" s="330"/>
    </row>
    <row r="11" spans="1:40" s="46" customFormat="1" ht="25.5" customHeight="1">
      <c r="A11" s="330"/>
      <c r="B11" s="326"/>
      <c r="C11" s="330"/>
      <c r="D11" s="126"/>
      <c r="E11" s="330"/>
      <c r="F11" s="335"/>
      <c r="G11" s="330"/>
      <c r="H11" s="126"/>
      <c r="I11" s="330"/>
      <c r="J11" s="335"/>
      <c r="K11" s="126"/>
      <c r="L11" s="126"/>
      <c r="M11" s="126"/>
      <c r="N11" s="126"/>
      <c r="O11" s="126"/>
      <c r="P11" s="146"/>
      <c r="Q11" s="146"/>
      <c r="R11" s="146"/>
      <c r="S11" s="146"/>
      <c r="T11" s="146"/>
      <c r="U11" s="146"/>
      <c r="V11" s="231"/>
      <c r="W11" s="231"/>
      <c r="X11" s="330"/>
      <c r="Y11" s="330"/>
      <c r="Z11" s="335"/>
      <c r="AA11" s="335"/>
      <c r="AB11" s="146"/>
      <c r="AC11" s="330"/>
      <c r="AD11" s="335"/>
      <c r="AE11" s="126"/>
      <c r="AF11" s="126"/>
      <c r="AG11" s="335"/>
      <c r="AH11" s="330"/>
      <c r="AI11" s="272"/>
      <c r="AJ11" s="330"/>
      <c r="AK11" s="330"/>
      <c r="AL11" s="330"/>
      <c r="AM11" s="330"/>
      <c r="AN11" s="330"/>
    </row>
    <row r="12" spans="1:40" s="46" customFormat="1" ht="12" customHeight="1">
      <c r="A12" s="330"/>
      <c r="B12" s="326"/>
      <c r="C12" s="330"/>
      <c r="D12" s="146"/>
      <c r="E12" s="338"/>
      <c r="F12" s="336"/>
      <c r="G12" s="338"/>
      <c r="H12" s="146"/>
      <c r="I12" s="338"/>
      <c r="J12" s="33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231"/>
      <c r="W12" s="231"/>
      <c r="X12" s="338"/>
      <c r="Y12" s="338"/>
      <c r="Z12" s="336"/>
      <c r="AA12" s="336"/>
      <c r="AB12" s="146"/>
      <c r="AC12" s="338"/>
      <c r="AD12" s="336"/>
      <c r="AE12" s="126"/>
      <c r="AF12" s="146"/>
      <c r="AG12" s="336"/>
      <c r="AH12" s="338"/>
      <c r="AI12" s="273"/>
      <c r="AJ12" s="338"/>
      <c r="AK12" s="338"/>
      <c r="AL12" s="338"/>
      <c r="AM12" s="338"/>
      <c r="AN12" s="338"/>
    </row>
    <row r="13" spans="1:40" s="46" customFormat="1" ht="12" customHeight="1">
      <c r="A13" s="23">
        <v>2</v>
      </c>
      <c r="B13" s="12" t="s">
        <v>3</v>
      </c>
      <c r="C13" s="154">
        <f>SUM(C5:C12)</f>
        <v>6843.6</v>
      </c>
      <c r="D13" s="144"/>
      <c r="E13" s="144"/>
      <c r="F13" s="145"/>
      <c r="G13" s="144"/>
      <c r="H13" s="144"/>
      <c r="I13" s="144"/>
      <c r="J13" s="21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214"/>
      <c r="W13" s="214"/>
      <c r="X13" s="144"/>
      <c r="Y13" s="144"/>
      <c r="Z13" s="145"/>
      <c r="AA13" s="144"/>
      <c r="AB13" s="144"/>
      <c r="AC13" s="214"/>
      <c r="AD13" s="214"/>
      <c r="AE13" s="145"/>
      <c r="AF13" s="144"/>
      <c r="AG13" s="238"/>
      <c r="AH13" s="176"/>
      <c r="AI13" s="270"/>
      <c r="AJ13" s="176"/>
      <c r="AK13" s="238"/>
      <c r="AL13" s="238"/>
      <c r="AM13" s="238"/>
      <c r="AN13" s="269"/>
    </row>
    <row r="14" spans="3:40" ht="12.75">
      <c r="C14" s="161"/>
      <c r="D14" s="163"/>
      <c r="E14" s="163"/>
      <c r="F14" s="162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2"/>
      <c r="AA14" s="163"/>
      <c r="AB14" s="163"/>
      <c r="AC14" s="163"/>
      <c r="AD14" s="163"/>
      <c r="AE14" s="162"/>
      <c r="AF14" s="163"/>
      <c r="AG14" s="163"/>
      <c r="AH14" s="163"/>
      <c r="AI14" s="163"/>
      <c r="AJ14" s="163"/>
      <c r="AK14" s="171"/>
      <c r="AL14" s="171"/>
      <c r="AM14" s="171"/>
      <c r="AN14" s="65"/>
    </row>
    <row r="15" spans="3:40" ht="12.75">
      <c r="C15" s="149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8"/>
      <c r="AC15" s="158"/>
      <c r="AD15" s="158"/>
      <c r="AE15" s="157"/>
      <c r="AF15" s="157"/>
      <c r="AG15" s="157"/>
      <c r="AH15" s="159"/>
      <c r="AI15" s="159"/>
      <c r="AJ15" s="159"/>
      <c r="AK15" s="159"/>
      <c r="AL15" s="159"/>
      <c r="AM15" s="159"/>
      <c r="AN15" s="65"/>
    </row>
    <row r="16" spans="3:40" ht="12.75"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60"/>
      <c r="Q16" s="160"/>
      <c r="R16" s="160"/>
      <c r="S16" s="160"/>
      <c r="T16" s="160"/>
      <c r="U16" s="160"/>
      <c r="V16" s="160"/>
      <c r="W16" s="160"/>
      <c r="X16" s="149"/>
      <c r="Y16" s="149"/>
      <c r="Z16" s="149"/>
      <c r="AA16" s="149"/>
      <c r="AB16" s="160"/>
      <c r="AC16" s="160"/>
      <c r="AD16" s="160"/>
      <c r="AE16" s="160"/>
      <c r="AF16" s="149"/>
      <c r="AG16" s="149"/>
      <c r="AH16" s="160"/>
      <c r="AI16" s="160"/>
      <c r="AJ16" s="160"/>
      <c r="AK16" s="160"/>
      <c r="AL16" s="160"/>
      <c r="AM16" s="160"/>
      <c r="AN16" s="65"/>
    </row>
    <row r="17" spans="3:40" ht="12.75"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60"/>
      <c r="Q17" s="160"/>
      <c r="R17" s="160"/>
      <c r="S17" s="149"/>
      <c r="T17" s="149"/>
      <c r="U17" s="149"/>
      <c r="V17" s="149"/>
      <c r="W17" s="149"/>
      <c r="X17" s="149"/>
      <c r="Y17" s="149"/>
      <c r="Z17" s="149"/>
      <c r="AA17" s="149"/>
      <c r="AB17" s="160"/>
      <c r="AC17" s="160"/>
      <c r="AD17" s="160"/>
      <c r="AE17" s="160"/>
      <c r="AF17" s="149"/>
      <c r="AG17" s="149"/>
      <c r="AH17" s="160"/>
      <c r="AI17" s="160"/>
      <c r="AJ17" s="160"/>
      <c r="AK17" s="160"/>
      <c r="AL17" s="160"/>
      <c r="AM17" s="160"/>
      <c r="AN17" s="65"/>
    </row>
    <row r="18" spans="16:18" ht="12.75">
      <c r="P18" s="27"/>
      <c r="Q18" s="27"/>
      <c r="R18" s="27"/>
    </row>
    <row r="19" spans="16:18" ht="12.75">
      <c r="P19" s="27"/>
      <c r="Q19" s="27"/>
      <c r="R19" s="27"/>
    </row>
    <row r="21" ht="12.75">
      <c r="AE21" s="74"/>
    </row>
    <row r="22" spans="34:39" ht="12.75">
      <c r="AH22" s="26"/>
      <c r="AI22" s="26"/>
      <c r="AJ22" s="26"/>
      <c r="AK22" s="26"/>
      <c r="AL22" s="26"/>
      <c r="AM22" s="26"/>
    </row>
  </sheetData>
  <sheetProtection/>
  <mergeCells count="46">
    <mergeCell ref="AN9:AN12"/>
    <mergeCell ref="AN5:AN8"/>
    <mergeCell ref="AJ5:AJ8"/>
    <mergeCell ref="AJ9:AJ12"/>
    <mergeCell ref="X9:X12"/>
    <mergeCell ref="AH5:AH8"/>
    <mergeCell ref="AH9:AH12"/>
    <mergeCell ref="Y5:Y8"/>
    <mergeCell ref="Y9:Y12"/>
    <mergeCell ref="Z5:Z8"/>
    <mergeCell ref="AC9:AC12"/>
    <mergeCell ref="AD9:AD12"/>
    <mergeCell ref="E5:E8"/>
    <mergeCell ref="E9:E12"/>
    <mergeCell ref="F5:F8"/>
    <mergeCell ref="G5:G8"/>
    <mergeCell ref="G9:G12"/>
    <mergeCell ref="AA5:AA8"/>
    <mergeCell ref="AA9:AA12"/>
    <mergeCell ref="I5:I8"/>
    <mergeCell ref="Z9:Z12"/>
    <mergeCell ref="A9:A12"/>
    <mergeCell ref="B9:B12"/>
    <mergeCell ref="B5:B8"/>
    <mergeCell ref="A5:A8"/>
    <mergeCell ref="C5:C8"/>
    <mergeCell ref="C9:C12"/>
    <mergeCell ref="AE2:AF2"/>
    <mergeCell ref="P2:R2"/>
    <mergeCell ref="S2:U2"/>
    <mergeCell ref="N2:O2"/>
    <mergeCell ref="L2:M2"/>
    <mergeCell ref="F9:F12"/>
    <mergeCell ref="V2:W2"/>
    <mergeCell ref="J5:J8"/>
    <mergeCell ref="J9:J12"/>
    <mergeCell ref="I9:I12"/>
    <mergeCell ref="AM5:AM8"/>
    <mergeCell ref="AM9:AM12"/>
    <mergeCell ref="AL5:AL8"/>
    <mergeCell ref="AL9:AL12"/>
    <mergeCell ref="AG5:AG8"/>
    <mergeCell ref="AG9:AG12"/>
    <mergeCell ref="AK5:AK8"/>
    <mergeCell ref="AK9:AK12"/>
    <mergeCell ref="AI5:A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CF22"/>
  <sheetViews>
    <sheetView zoomScale="80" zoomScaleNormal="8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O1" sqref="AO1:AP16384"/>
    </sheetView>
  </sheetViews>
  <sheetFormatPr defaultColWidth="9.140625" defaultRowHeight="12.75"/>
  <cols>
    <col min="1" max="1" width="6.28125" style="27" customWidth="1"/>
    <col min="2" max="2" width="19.7109375" style="26" customWidth="1"/>
    <col min="3" max="3" width="9.140625" style="26" customWidth="1"/>
    <col min="4" max="4" width="8.7109375" style="26" hidden="1" customWidth="1"/>
    <col min="5" max="5" width="8.140625" style="26" hidden="1" customWidth="1"/>
    <col min="6" max="6" width="8.140625" style="26" customWidth="1"/>
    <col min="7" max="7" width="9.57421875" style="26" customWidth="1"/>
    <col min="8" max="13" width="9.421875" style="26" hidden="1" customWidth="1"/>
    <col min="14" max="14" width="9.57421875" style="26" customWidth="1"/>
    <col min="15" max="17" width="8.28125" style="26" hidden="1" customWidth="1"/>
    <col min="18" max="18" width="10.57421875" style="26" hidden="1" customWidth="1"/>
    <col min="19" max="19" width="10.57421875" style="26" customWidth="1"/>
    <col min="20" max="20" width="9.28125" style="26" customWidth="1"/>
    <col min="21" max="21" width="10.140625" style="26" customWidth="1"/>
    <col min="22" max="22" width="9.28125" style="26" customWidth="1"/>
    <col min="23" max="23" width="9.421875" style="26" hidden="1" customWidth="1"/>
    <col min="24" max="24" width="7.7109375" style="26" hidden="1" customWidth="1"/>
    <col min="25" max="25" width="8.421875" style="26" hidden="1" customWidth="1"/>
    <col min="26" max="26" width="8.8515625" style="26" hidden="1" customWidth="1"/>
    <col min="27" max="27" width="6.8515625" style="26" hidden="1" customWidth="1"/>
    <col min="28" max="28" width="9.140625" style="26" hidden="1" customWidth="1"/>
    <col min="29" max="30" width="9.140625" style="26" customWidth="1"/>
    <col min="31" max="31" width="13.28125" style="26" hidden="1" customWidth="1"/>
    <col min="32" max="32" width="6.421875" style="26" customWidth="1"/>
    <col min="33" max="33" width="9.140625" style="26" customWidth="1"/>
    <col min="34" max="35" width="11.140625" style="26" hidden="1" customWidth="1"/>
    <col min="36" max="36" width="8.28125" style="26" hidden="1" customWidth="1"/>
    <col min="37" max="37" width="9.7109375" style="27" hidden="1" customWidth="1"/>
    <col min="38" max="38" width="9.7109375" style="27" customWidth="1"/>
    <col min="39" max="39" width="14.7109375" style="27" customWidth="1"/>
    <col min="40" max="40" width="11.421875" style="27" customWidth="1"/>
    <col min="41" max="41" width="9.140625" style="27" hidden="1" customWidth="1"/>
    <col min="42" max="42" width="10.00390625" style="27" hidden="1" customWidth="1"/>
    <col min="43" max="84" width="9.140625" style="150" customWidth="1"/>
  </cols>
  <sheetData>
    <row r="1" spans="1:42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5"/>
      <c r="AL1" s="35"/>
      <c r="AM1" s="35"/>
      <c r="AN1" s="35"/>
      <c r="AO1" s="35"/>
      <c r="AP1" s="35"/>
    </row>
    <row r="2" spans="1:42" ht="67.5" customHeight="1">
      <c r="A2" s="38" t="s">
        <v>0</v>
      </c>
      <c r="B2" s="38" t="s">
        <v>1</v>
      </c>
      <c r="C2" s="38" t="s">
        <v>2</v>
      </c>
      <c r="D2" s="315" t="s">
        <v>119</v>
      </c>
      <c r="E2" s="316"/>
      <c r="F2" s="315" t="s">
        <v>170</v>
      </c>
      <c r="G2" s="316"/>
      <c r="H2" s="348" t="s">
        <v>55</v>
      </c>
      <c r="I2" s="348"/>
      <c r="J2" s="315" t="s">
        <v>122</v>
      </c>
      <c r="K2" s="316"/>
      <c r="L2" s="43" t="s">
        <v>125</v>
      </c>
      <c r="M2" s="38" t="s">
        <v>56</v>
      </c>
      <c r="N2" s="38" t="s">
        <v>58</v>
      </c>
      <c r="O2" s="348" t="s">
        <v>103</v>
      </c>
      <c r="P2" s="348"/>
      <c r="Q2" s="38" t="s">
        <v>104</v>
      </c>
      <c r="R2" s="38" t="s">
        <v>161</v>
      </c>
      <c r="S2" s="38" t="s">
        <v>160</v>
      </c>
      <c r="T2" s="315" t="s">
        <v>60</v>
      </c>
      <c r="U2" s="333"/>
      <c r="V2" s="316"/>
      <c r="W2" s="348" t="s">
        <v>61</v>
      </c>
      <c r="X2" s="348"/>
      <c r="Y2" s="348"/>
      <c r="Z2" s="348" t="s">
        <v>62</v>
      </c>
      <c r="AA2" s="348"/>
      <c r="AB2" s="348"/>
      <c r="AC2" s="315" t="s">
        <v>148</v>
      </c>
      <c r="AD2" s="316"/>
      <c r="AE2" s="38" t="s">
        <v>110</v>
      </c>
      <c r="AF2" s="315" t="s">
        <v>98</v>
      </c>
      <c r="AG2" s="316"/>
      <c r="AH2" s="38" t="s">
        <v>111</v>
      </c>
      <c r="AI2" s="38" t="s">
        <v>112</v>
      </c>
      <c r="AJ2" s="38" t="s">
        <v>94</v>
      </c>
      <c r="AK2" s="38" t="s">
        <v>57</v>
      </c>
      <c r="AL2" s="38" t="s">
        <v>139</v>
      </c>
      <c r="AM2" s="38" t="s">
        <v>212</v>
      </c>
      <c r="AN2" s="38" t="s">
        <v>221</v>
      </c>
      <c r="AO2" s="38" t="s">
        <v>115</v>
      </c>
      <c r="AP2" s="38" t="s">
        <v>126</v>
      </c>
    </row>
    <row r="3" spans="1:42" ht="22.5" customHeight="1">
      <c r="A3" s="39"/>
      <c r="B3" s="40"/>
      <c r="C3" s="40"/>
      <c r="D3" s="38" t="s">
        <v>63</v>
      </c>
      <c r="E3" s="38" t="s">
        <v>77</v>
      </c>
      <c r="F3" s="38" t="s">
        <v>77</v>
      </c>
      <c r="G3" s="38" t="s">
        <v>86</v>
      </c>
      <c r="H3" s="38" t="s">
        <v>63</v>
      </c>
      <c r="I3" s="38" t="s">
        <v>77</v>
      </c>
      <c r="J3" s="38" t="s">
        <v>63</v>
      </c>
      <c r="K3" s="38" t="s">
        <v>77</v>
      </c>
      <c r="L3" s="38" t="s">
        <v>77</v>
      </c>
      <c r="M3" s="38" t="s">
        <v>86</v>
      </c>
      <c r="N3" s="38"/>
      <c r="O3" s="38" t="s">
        <v>77</v>
      </c>
      <c r="P3" s="38" t="s">
        <v>86</v>
      </c>
      <c r="Q3" s="38"/>
      <c r="R3" s="38"/>
      <c r="S3" s="38"/>
      <c r="T3" s="38" t="s">
        <v>63</v>
      </c>
      <c r="U3" s="38" t="s">
        <v>65</v>
      </c>
      <c r="V3" s="38" t="s">
        <v>86</v>
      </c>
      <c r="W3" s="38" t="s">
        <v>63</v>
      </c>
      <c r="X3" s="38" t="s">
        <v>65</v>
      </c>
      <c r="Y3" s="38" t="s">
        <v>90</v>
      </c>
      <c r="Z3" s="38" t="s">
        <v>63</v>
      </c>
      <c r="AA3" s="38" t="s">
        <v>65</v>
      </c>
      <c r="AB3" s="38" t="s">
        <v>90</v>
      </c>
      <c r="AC3" s="38" t="s">
        <v>63</v>
      </c>
      <c r="AD3" s="38" t="s">
        <v>65</v>
      </c>
      <c r="AE3" s="38" t="s">
        <v>76</v>
      </c>
      <c r="AF3" s="38" t="s">
        <v>65</v>
      </c>
      <c r="AG3" s="38" t="s">
        <v>90</v>
      </c>
      <c r="AH3" s="38"/>
      <c r="AI3" s="38"/>
      <c r="AJ3" s="38"/>
      <c r="AK3" s="38"/>
      <c r="AL3" s="38"/>
      <c r="AM3" s="38"/>
      <c r="AN3" s="137" t="s">
        <v>77</v>
      </c>
      <c r="AO3" s="137" t="s">
        <v>77</v>
      </c>
      <c r="AP3" s="137" t="s">
        <v>77</v>
      </c>
    </row>
    <row r="4" spans="1:42" ht="12" customHeight="1">
      <c r="A4" s="192" t="s">
        <v>88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</row>
    <row r="5" spans="1:84" s="48" customFormat="1" ht="22.5" customHeight="1">
      <c r="A5" s="339">
        <v>1</v>
      </c>
      <c r="B5" s="360" t="s">
        <v>82</v>
      </c>
      <c r="C5" s="339">
        <v>4768.6</v>
      </c>
      <c r="D5" s="193"/>
      <c r="E5" s="193"/>
      <c r="F5" s="193">
        <v>2</v>
      </c>
      <c r="G5" s="193" t="s">
        <v>172</v>
      </c>
      <c r="H5" s="193"/>
      <c r="I5" s="193"/>
      <c r="J5" s="193"/>
      <c r="K5" s="193"/>
      <c r="L5" s="193"/>
      <c r="M5" s="193"/>
      <c r="N5" s="357" t="s">
        <v>100</v>
      </c>
      <c r="O5" s="193"/>
      <c r="P5" s="193"/>
      <c r="Q5" s="357"/>
      <c r="R5" s="357"/>
      <c r="S5" s="357" t="s">
        <v>100</v>
      </c>
      <c r="T5" s="257"/>
      <c r="U5" s="257"/>
      <c r="V5" s="257"/>
      <c r="W5" s="193"/>
      <c r="X5" s="193"/>
      <c r="Y5" s="193"/>
      <c r="Z5" s="193"/>
      <c r="AA5" s="193"/>
      <c r="AB5" s="193"/>
      <c r="AC5" s="233"/>
      <c r="AD5" s="233"/>
      <c r="AE5" s="357"/>
      <c r="AF5" s="257"/>
      <c r="AG5" s="257"/>
      <c r="AH5" s="357"/>
      <c r="AI5" s="357"/>
      <c r="AJ5" s="357"/>
      <c r="AK5" s="194"/>
      <c r="AL5" s="194"/>
      <c r="AM5" s="352" t="s">
        <v>100</v>
      </c>
      <c r="AN5" s="311"/>
      <c r="AO5" s="193"/>
      <c r="AP5" s="357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</row>
    <row r="6" spans="1:84" s="48" customFormat="1" ht="18" customHeight="1" thickBot="1">
      <c r="A6" s="339"/>
      <c r="B6" s="360"/>
      <c r="C6" s="339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358"/>
      <c r="O6" s="193"/>
      <c r="P6" s="193"/>
      <c r="Q6" s="358"/>
      <c r="R6" s="358"/>
      <c r="S6" s="358"/>
      <c r="T6" s="258"/>
      <c r="U6" s="258"/>
      <c r="V6" s="258"/>
      <c r="W6" s="193"/>
      <c r="X6" s="193"/>
      <c r="Y6" s="193"/>
      <c r="Z6" s="193"/>
      <c r="AA6" s="193"/>
      <c r="AB6" s="193"/>
      <c r="AC6" s="234"/>
      <c r="AD6" s="234"/>
      <c r="AE6" s="358"/>
      <c r="AF6" s="258"/>
      <c r="AG6" s="258"/>
      <c r="AH6" s="358"/>
      <c r="AI6" s="358"/>
      <c r="AJ6" s="358"/>
      <c r="AK6" s="194"/>
      <c r="AL6" s="194"/>
      <c r="AM6" s="353"/>
      <c r="AN6" s="312"/>
      <c r="AO6" s="193"/>
      <c r="AP6" s="35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</row>
    <row r="7" spans="1:84" s="82" customFormat="1" ht="23.25" customHeight="1">
      <c r="A7" s="313">
        <v>2</v>
      </c>
      <c r="B7" s="323" t="s">
        <v>83</v>
      </c>
      <c r="C7" s="359">
        <v>4278</v>
      </c>
      <c r="D7" s="196"/>
      <c r="E7" s="196"/>
      <c r="F7" s="196"/>
      <c r="G7" s="196"/>
      <c r="H7" s="196"/>
      <c r="I7" s="196"/>
      <c r="J7" s="196"/>
      <c r="K7" s="196"/>
      <c r="L7" s="354"/>
      <c r="M7" s="196"/>
      <c r="N7" s="354" t="s">
        <v>100</v>
      </c>
      <c r="O7" s="196"/>
      <c r="P7" s="196"/>
      <c r="Q7" s="354"/>
      <c r="R7" s="354"/>
      <c r="S7" s="354" t="s">
        <v>100</v>
      </c>
      <c r="T7" s="196" t="s">
        <v>193</v>
      </c>
      <c r="U7" s="196">
        <v>2</v>
      </c>
      <c r="V7" s="196" t="s">
        <v>152</v>
      </c>
      <c r="W7" s="196"/>
      <c r="X7" s="196"/>
      <c r="Y7" s="197"/>
      <c r="Z7" s="196"/>
      <c r="AA7" s="196"/>
      <c r="AB7" s="196"/>
      <c r="AC7" s="196" t="s">
        <v>147</v>
      </c>
      <c r="AD7" s="196">
        <v>16</v>
      </c>
      <c r="AE7" s="196"/>
      <c r="AF7" s="196">
        <v>35</v>
      </c>
      <c r="AG7" s="196" t="s">
        <v>203</v>
      </c>
      <c r="AH7" s="354"/>
      <c r="AI7" s="354"/>
      <c r="AJ7" s="354"/>
      <c r="AK7" s="196"/>
      <c r="AL7" s="354" t="s">
        <v>100</v>
      </c>
      <c r="AM7" s="354" t="s">
        <v>100</v>
      </c>
      <c r="AN7" s="354">
        <v>1</v>
      </c>
      <c r="AO7" s="196"/>
      <c r="AP7" s="354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</row>
    <row r="8" spans="1:84" s="83" customFormat="1" ht="25.5" customHeight="1">
      <c r="A8" s="322"/>
      <c r="B8" s="324"/>
      <c r="C8" s="359"/>
      <c r="D8" s="196"/>
      <c r="E8" s="196"/>
      <c r="F8" s="196"/>
      <c r="G8" s="196"/>
      <c r="H8" s="196"/>
      <c r="I8" s="196"/>
      <c r="J8" s="196"/>
      <c r="K8" s="196"/>
      <c r="L8" s="355"/>
      <c r="M8" s="196"/>
      <c r="N8" s="355"/>
      <c r="O8" s="196"/>
      <c r="P8" s="196"/>
      <c r="Q8" s="355"/>
      <c r="R8" s="355"/>
      <c r="S8" s="355"/>
      <c r="T8" s="196"/>
      <c r="U8" s="196"/>
      <c r="V8" s="196"/>
      <c r="W8" s="196"/>
      <c r="X8" s="196"/>
      <c r="Y8" s="197"/>
      <c r="Z8" s="196"/>
      <c r="AA8" s="196"/>
      <c r="AB8" s="196"/>
      <c r="AC8" s="196"/>
      <c r="AD8" s="196"/>
      <c r="AE8" s="196"/>
      <c r="AF8" s="196"/>
      <c r="AG8" s="196"/>
      <c r="AH8" s="355"/>
      <c r="AI8" s="355"/>
      <c r="AJ8" s="355"/>
      <c r="AK8" s="196"/>
      <c r="AL8" s="355"/>
      <c r="AM8" s="355"/>
      <c r="AN8" s="355"/>
      <c r="AO8" s="196"/>
      <c r="AP8" s="355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</row>
    <row r="9" spans="1:84" s="83" customFormat="1" ht="12" customHeight="1">
      <c r="A9" s="322"/>
      <c r="B9" s="324"/>
      <c r="C9" s="359"/>
      <c r="D9" s="196"/>
      <c r="E9" s="196"/>
      <c r="F9" s="196"/>
      <c r="G9" s="196"/>
      <c r="H9" s="196"/>
      <c r="I9" s="196"/>
      <c r="J9" s="196"/>
      <c r="K9" s="196"/>
      <c r="L9" s="355"/>
      <c r="M9" s="196"/>
      <c r="N9" s="355"/>
      <c r="O9" s="196"/>
      <c r="P9" s="196"/>
      <c r="Q9" s="355"/>
      <c r="R9" s="355"/>
      <c r="S9" s="355"/>
      <c r="T9" s="196"/>
      <c r="U9" s="196"/>
      <c r="V9" s="196"/>
      <c r="W9" s="196"/>
      <c r="X9" s="196"/>
      <c r="Y9" s="197"/>
      <c r="Z9" s="196"/>
      <c r="AA9" s="196"/>
      <c r="AB9" s="196"/>
      <c r="AC9" s="196"/>
      <c r="AD9" s="196"/>
      <c r="AE9" s="196"/>
      <c r="AF9" s="196"/>
      <c r="AG9" s="196"/>
      <c r="AH9" s="355"/>
      <c r="AI9" s="355"/>
      <c r="AJ9" s="355"/>
      <c r="AK9" s="196"/>
      <c r="AL9" s="355"/>
      <c r="AM9" s="355"/>
      <c r="AN9" s="355"/>
      <c r="AO9" s="196"/>
      <c r="AP9" s="355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</row>
    <row r="10" spans="1:84" s="84" customFormat="1" ht="12" customHeight="1" thickBot="1">
      <c r="A10" s="322"/>
      <c r="B10" s="324"/>
      <c r="C10" s="359"/>
      <c r="D10" s="196"/>
      <c r="E10" s="196"/>
      <c r="F10" s="196"/>
      <c r="G10" s="196"/>
      <c r="H10" s="196"/>
      <c r="I10" s="196"/>
      <c r="J10" s="196"/>
      <c r="K10" s="196"/>
      <c r="L10" s="356"/>
      <c r="M10" s="196"/>
      <c r="N10" s="356"/>
      <c r="O10" s="196"/>
      <c r="P10" s="196"/>
      <c r="Q10" s="356"/>
      <c r="R10" s="356"/>
      <c r="S10" s="356"/>
      <c r="T10" s="196"/>
      <c r="U10" s="196"/>
      <c r="V10" s="196"/>
      <c r="W10" s="196"/>
      <c r="X10" s="196"/>
      <c r="Y10" s="197"/>
      <c r="Z10" s="196"/>
      <c r="AA10" s="196"/>
      <c r="AB10" s="196"/>
      <c r="AC10" s="196"/>
      <c r="AD10" s="196"/>
      <c r="AE10" s="196"/>
      <c r="AF10" s="196"/>
      <c r="AG10" s="196"/>
      <c r="AH10" s="356"/>
      <c r="AI10" s="356"/>
      <c r="AJ10" s="356"/>
      <c r="AK10" s="196"/>
      <c r="AL10" s="356"/>
      <c r="AM10" s="356"/>
      <c r="AN10" s="356"/>
      <c r="AO10" s="196"/>
      <c r="AP10" s="356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</row>
    <row r="11" spans="1:84" s="46" customFormat="1" ht="12" customHeight="1">
      <c r="A11" s="142">
        <v>2</v>
      </c>
      <c r="B11" s="169" t="s">
        <v>3</v>
      </c>
      <c r="C11" s="142">
        <f>SUM(C5:C10)</f>
        <v>9046.6</v>
      </c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</row>
    <row r="12" spans="3:42" ht="12.75">
      <c r="C12" s="149"/>
      <c r="D12" s="170"/>
      <c r="E12" s="170"/>
      <c r="F12" s="170"/>
      <c r="G12" s="170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0"/>
      <c r="AJ12" s="171"/>
      <c r="AK12" s="171"/>
      <c r="AL12" s="171"/>
      <c r="AM12" s="171"/>
      <c r="AN12" s="171"/>
      <c r="AO12" s="171"/>
      <c r="AP12" s="171"/>
    </row>
    <row r="13" spans="3:42" ht="12.75">
      <c r="C13" s="149"/>
      <c r="D13" s="170"/>
      <c r="E13" s="170"/>
      <c r="F13" s="170"/>
      <c r="G13" s="170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0"/>
      <c r="AJ13" s="171"/>
      <c r="AK13" s="171"/>
      <c r="AL13" s="171"/>
      <c r="AM13" s="171"/>
      <c r="AN13" s="171"/>
      <c r="AO13" s="171"/>
      <c r="AP13" s="171"/>
    </row>
    <row r="14" spans="3:42" ht="12.75">
      <c r="C14" s="149"/>
      <c r="D14" s="170"/>
      <c r="E14" s="170"/>
      <c r="F14" s="170"/>
      <c r="G14" s="170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0"/>
      <c r="AJ14" s="171"/>
      <c r="AK14" s="171"/>
      <c r="AL14" s="171"/>
      <c r="AM14" s="171"/>
      <c r="AN14" s="171"/>
      <c r="AO14" s="171"/>
      <c r="AP14" s="171"/>
    </row>
    <row r="15" spans="4:42" ht="12.75">
      <c r="D15" s="155"/>
      <c r="E15" s="155"/>
      <c r="F15" s="155"/>
      <c r="G15" s="155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8"/>
      <c r="AL15" s="158"/>
      <c r="AM15" s="158"/>
      <c r="AN15" s="158"/>
      <c r="AO15" s="159"/>
      <c r="AP15" s="159"/>
    </row>
    <row r="16" spans="4:42" ht="12.75"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60"/>
      <c r="X16" s="160"/>
      <c r="Y16" s="160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60"/>
      <c r="AL16" s="160"/>
      <c r="AM16" s="160"/>
      <c r="AN16" s="160"/>
      <c r="AO16" s="160"/>
      <c r="AP16" s="160"/>
    </row>
    <row r="17" spans="4:42" ht="12.75"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60"/>
      <c r="AL17" s="160"/>
      <c r="AM17" s="160"/>
      <c r="AN17" s="160"/>
      <c r="AO17" s="160"/>
      <c r="AP17" s="160"/>
    </row>
    <row r="22" spans="41:42" ht="12.75">
      <c r="AO22" s="26"/>
      <c r="AP22" s="26"/>
    </row>
  </sheetData>
  <sheetProtection/>
  <mergeCells count="38">
    <mergeCell ref="F2:G2"/>
    <mergeCell ref="AI7:AI10"/>
    <mergeCell ref="N7:N10"/>
    <mergeCell ref="Q7:Q10"/>
    <mergeCell ref="Q5:Q6"/>
    <mergeCell ref="AN7:AN10"/>
    <mergeCell ref="R5:R6"/>
    <mergeCell ref="R7:R10"/>
    <mergeCell ref="Z2:AB2"/>
    <mergeCell ref="T2:V2"/>
    <mergeCell ref="AL7:AL10"/>
    <mergeCell ref="A7:A10"/>
    <mergeCell ref="B7:B10"/>
    <mergeCell ref="L7:L10"/>
    <mergeCell ref="C7:C10"/>
    <mergeCell ref="A5:A6"/>
    <mergeCell ref="B5:B6"/>
    <mergeCell ref="C5:C6"/>
    <mergeCell ref="H2:I2"/>
    <mergeCell ref="W2:Y2"/>
    <mergeCell ref="AC2:AD2"/>
    <mergeCell ref="S5:S6"/>
    <mergeCell ref="AP5:AP6"/>
    <mergeCell ref="AP7:AP10"/>
    <mergeCell ref="AE5:AE6"/>
    <mergeCell ref="AJ7:AJ10"/>
    <mergeCell ref="AH5:AH6"/>
    <mergeCell ref="AH7:AH10"/>
    <mergeCell ref="AF2:AG2"/>
    <mergeCell ref="AM5:AM6"/>
    <mergeCell ref="AM7:AM10"/>
    <mergeCell ref="S7:S10"/>
    <mergeCell ref="D2:E2"/>
    <mergeCell ref="AJ5:AJ6"/>
    <mergeCell ref="J2:K2"/>
    <mergeCell ref="O2:P2"/>
    <mergeCell ref="N5:N6"/>
    <mergeCell ref="AI5:A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BK22"/>
  <sheetViews>
    <sheetView zoomScale="70" zoomScaleNormal="7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N1" sqref="AN1:AN16384"/>
    </sheetView>
  </sheetViews>
  <sheetFormatPr defaultColWidth="9.140625" defaultRowHeight="12.75"/>
  <cols>
    <col min="1" max="1" width="6.28125" style="27" customWidth="1"/>
    <col min="2" max="2" width="19.7109375" style="26" customWidth="1"/>
    <col min="3" max="7" width="9.140625" style="26" customWidth="1"/>
    <col min="8" max="8" width="10.140625" style="26" hidden="1" customWidth="1"/>
    <col min="9" max="11" width="9.421875" style="26" hidden="1" customWidth="1"/>
    <col min="12" max="12" width="9.57421875" style="26" customWidth="1"/>
    <col min="13" max="14" width="8.28125" style="26" customWidth="1"/>
    <col min="15" max="15" width="8.28125" style="26" hidden="1" customWidth="1"/>
    <col min="16" max="17" width="10.57421875" style="26" customWidth="1"/>
    <col min="18" max="18" width="7.00390625" style="26" hidden="1" customWidth="1"/>
    <col min="19" max="19" width="8.140625" style="26" hidden="1" customWidth="1"/>
    <col min="20" max="20" width="9.421875" style="26" hidden="1" customWidth="1"/>
    <col min="21" max="21" width="7.7109375" style="26" hidden="1" customWidth="1"/>
    <col min="22" max="22" width="8.421875" style="26" hidden="1" customWidth="1"/>
    <col min="23" max="23" width="9.140625" style="26" customWidth="1"/>
    <col min="24" max="24" width="7.28125" style="26" customWidth="1"/>
    <col min="25" max="25" width="13.28125" style="26" hidden="1" customWidth="1"/>
    <col min="26" max="27" width="11.140625" style="26" hidden="1" customWidth="1"/>
    <col min="28" max="28" width="8.28125" style="26" hidden="1" customWidth="1"/>
    <col min="29" max="29" width="9.7109375" style="27" hidden="1" customWidth="1"/>
    <col min="30" max="30" width="9.7109375" style="27" customWidth="1"/>
    <col min="31" max="31" width="7.7109375" style="27" hidden="1" customWidth="1"/>
    <col min="32" max="32" width="10.421875" style="26" hidden="1" customWidth="1"/>
    <col min="33" max="34" width="10.421875" style="26" customWidth="1"/>
    <col min="35" max="35" width="14.7109375" style="26" customWidth="1"/>
    <col min="36" max="36" width="10.28125" style="26" customWidth="1"/>
    <col min="37" max="37" width="9.140625" style="27" customWidth="1"/>
    <col min="38" max="39" width="10.421875" style="27" customWidth="1"/>
    <col min="40" max="40" width="11.28125" style="27" hidden="1" customWidth="1"/>
    <col min="41" max="59" width="9.140625" style="152" customWidth="1"/>
  </cols>
  <sheetData>
    <row r="1" spans="1:40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5"/>
      <c r="AD1" s="35"/>
      <c r="AE1" s="35"/>
      <c r="AF1" s="2"/>
      <c r="AG1" s="2"/>
      <c r="AH1" s="2"/>
      <c r="AI1" s="2"/>
      <c r="AJ1" s="2"/>
      <c r="AK1" s="35"/>
      <c r="AL1" s="35"/>
      <c r="AM1" s="35"/>
      <c r="AN1" s="35"/>
    </row>
    <row r="2" spans="1:40" ht="67.5" customHeight="1">
      <c r="A2" s="38" t="s">
        <v>0</v>
      </c>
      <c r="B2" s="38" t="s">
        <v>1</v>
      </c>
      <c r="C2" s="38" t="s">
        <v>2</v>
      </c>
      <c r="D2" s="315" t="s">
        <v>55</v>
      </c>
      <c r="E2" s="316"/>
      <c r="F2" s="315" t="s">
        <v>170</v>
      </c>
      <c r="G2" s="316"/>
      <c r="H2" s="38" t="s">
        <v>128</v>
      </c>
      <c r="I2" s="38" t="s">
        <v>56</v>
      </c>
      <c r="J2" s="315" t="s">
        <v>129</v>
      </c>
      <c r="K2" s="316"/>
      <c r="L2" s="38" t="s">
        <v>58</v>
      </c>
      <c r="M2" s="348" t="s">
        <v>188</v>
      </c>
      <c r="N2" s="348"/>
      <c r="O2" s="38" t="s">
        <v>104</v>
      </c>
      <c r="P2" s="38" t="s">
        <v>106</v>
      </c>
      <c r="Q2" s="38" t="s">
        <v>160</v>
      </c>
      <c r="R2" s="348" t="s">
        <v>107</v>
      </c>
      <c r="S2" s="348"/>
      <c r="T2" s="348" t="s">
        <v>61</v>
      </c>
      <c r="U2" s="348"/>
      <c r="V2" s="348"/>
      <c r="W2" s="348" t="s">
        <v>109</v>
      </c>
      <c r="X2" s="348"/>
      <c r="Y2" s="38" t="s">
        <v>110</v>
      </c>
      <c r="Z2" s="38" t="s">
        <v>111</v>
      </c>
      <c r="AA2" s="38" t="s">
        <v>112</v>
      </c>
      <c r="AB2" s="38" t="s">
        <v>94</v>
      </c>
      <c r="AC2" s="38" t="s">
        <v>57</v>
      </c>
      <c r="AD2" s="38" t="s">
        <v>139</v>
      </c>
      <c r="AE2" s="348" t="s">
        <v>98</v>
      </c>
      <c r="AF2" s="348"/>
      <c r="AG2" s="38" t="s">
        <v>208</v>
      </c>
      <c r="AH2" s="38" t="s">
        <v>128</v>
      </c>
      <c r="AI2" s="38" t="s">
        <v>212</v>
      </c>
      <c r="AJ2" s="38" t="s">
        <v>221</v>
      </c>
      <c r="AK2" s="38" t="s">
        <v>219</v>
      </c>
      <c r="AL2" s="38" t="s">
        <v>115</v>
      </c>
      <c r="AM2" s="38" t="s">
        <v>130</v>
      </c>
      <c r="AN2" s="38" t="s">
        <v>123</v>
      </c>
    </row>
    <row r="3" spans="1:59" s="61" customFormat="1" ht="26.25" customHeight="1">
      <c r="A3" s="39"/>
      <c r="B3" s="39"/>
      <c r="C3" s="39"/>
      <c r="D3" s="268" t="s">
        <v>63</v>
      </c>
      <c r="E3" s="268" t="s">
        <v>77</v>
      </c>
      <c r="F3" s="268" t="s">
        <v>77</v>
      </c>
      <c r="G3" s="268" t="s">
        <v>86</v>
      </c>
      <c r="H3" s="38" t="s">
        <v>77</v>
      </c>
      <c r="I3" s="38" t="s">
        <v>86</v>
      </c>
      <c r="J3" s="38" t="s">
        <v>77</v>
      </c>
      <c r="K3" s="38" t="s">
        <v>86</v>
      </c>
      <c r="L3" s="38"/>
      <c r="M3" s="38" t="s">
        <v>77</v>
      </c>
      <c r="N3" s="38" t="s">
        <v>86</v>
      </c>
      <c r="O3" s="38"/>
      <c r="P3" s="38"/>
      <c r="Q3" s="38"/>
      <c r="R3" s="38" t="s">
        <v>96</v>
      </c>
      <c r="S3" s="38" t="s">
        <v>90</v>
      </c>
      <c r="T3" s="38" t="s">
        <v>63</v>
      </c>
      <c r="U3" s="38" t="s">
        <v>65</v>
      </c>
      <c r="V3" s="38" t="s">
        <v>90</v>
      </c>
      <c r="W3" s="38" t="s">
        <v>90</v>
      </c>
      <c r="X3" s="38" t="s">
        <v>65</v>
      </c>
      <c r="Y3" s="38" t="s">
        <v>76</v>
      </c>
      <c r="Z3" s="38"/>
      <c r="AA3" s="38"/>
      <c r="AB3" s="38"/>
      <c r="AC3" s="38"/>
      <c r="AD3" s="38"/>
      <c r="AE3" s="38" t="s">
        <v>65</v>
      </c>
      <c r="AF3" s="38" t="s">
        <v>90</v>
      </c>
      <c r="AG3" s="38" t="s">
        <v>209</v>
      </c>
      <c r="AH3" s="137" t="s">
        <v>77</v>
      </c>
      <c r="AI3" s="137"/>
      <c r="AJ3" s="137" t="s">
        <v>77</v>
      </c>
      <c r="AK3" s="137" t="s">
        <v>77</v>
      </c>
      <c r="AL3" s="137" t="s">
        <v>77</v>
      </c>
      <c r="AM3" s="137" t="s">
        <v>86</v>
      </c>
      <c r="AN3" s="42" t="s">
        <v>124</v>
      </c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</row>
    <row r="4" spans="1:40" s="203" customFormat="1" ht="12" customHeight="1">
      <c r="A4" s="202" t="s">
        <v>33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</row>
    <row r="5" spans="1:63" s="78" customFormat="1" ht="23.25" customHeight="1">
      <c r="A5" s="313">
        <v>1</v>
      </c>
      <c r="B5" s="323" t="s">
        <v>34</v>
      </c>
      <c r="C5" s="313">
        <v>6611.3</v>
      </c>
      <c r="D5" s="214"/>
      <c r="E5" s="214"/>
      <c r="F5" s="214"/>
      <c r="G5" s="214"/>
      <c r="H5" s="196"/>
      <c r="I5" s="196"/>
      <c r="J5" s="196"/>
      <c r="K5" s="196"/>
      <c r="L5" s="354" t="s">
        <v>100</v>
      </c>
      <c r="M5" s="196">
        <v>3</v>
      </c>
      <c r="N5" s="196" t="s">
        <v>206</v>
      </c>
      <c r="O5" s="354"/>
      <c r="P5" s="354" t="s">
        <v>100</v>
      </c>
      <c r="Q5" s="354" t="s">
        <v>100</v>
      </c>
      <c r="R5" s="196"/>
      <c r="S5" s="196"/>
      <c r="T5" s="196"/>
      <c r="U5" s="196"/>
      <c r="V5" s="196"/>
      <c r="W5" s="196"/>
      <c r="X5" s="196"/>
      <c r="Y5" s="354"/>
      <c r="Z5" s="354"/>
      <c r="AA5" s="354"/>
      <c r="AB5" s="354"/>
      <c r="AC5" s="199"/>
      <c r="AD5" s="199"/>
      <c r="AE5" s="196"/>
      <c r="AF5" s="196"/>
      <c r="AG5" s="254"/>
      <c r="AH5" s="354">
        <v>1</v>
      </c>
      <c r="AI5" s="354" t="s">
        <v>100</v>
      </c>
      <c r="AJ5" s="354">
        <v>2</v>
      </c>
      <c r="AK5" s="354">
        <v>2</v>
      </c>
      <c r="AL5" s="354"/>
      <c r="AM5" s="196"/>
      <c r="AN5" s="354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87"/>
      <c r="BI5" s="87"/>
      <c r="BJ5" s="87"/>
      <c r="BK5" s="87"/>
    </row>
    <row r="6" spans="1:63" s="78" customFormat="1" ht="12" customHeight="1">
      <c r="A6" s="322"/>
      <c r="B6" s="324"/>
      <c r="C6" s="322"/>
      <c r="D6" s="218"/>
      <c r="E6" s="218"/>
      <c r="F6" s="218"/>
      <c r="G6" s="218"/>
      <c r="H6" s="196"/>
      <c r="I6" s="196"/>
      <c r="J6" s="196"/>
      <c r="K6" s="196"/>
      <c r="L6" s="355"/>
      <c r="M6" s="196"/>
      <c r="N6" s="196"/>
      <c r="O6" s="355"/>
      <c r="P6" s="355"/>
      <c r="Q6" s="355"/>
      <c r="R6" s="196"/>
      <c r="S6" s="196"/>
      <c r="T6" s="196"/>
      <c r="U6" s="196"/>
      <c r="V6" s="196"/>
      <c r="W6" s="196"/>
      <c r="X6" s="196"/>
      <c r="Y6" s="355"/>
      <c r="Z6" s="355"/>
      <c r="AA6" s="355"/>
      <c r="AB6" s="355"/>
      <c r="AC6" s="199"/>
      <c r="AD6" s="199"/>
      <c r="AE6" s="196"/>
      <c r="AF6" s="196"/>
      <c r="AG6" s="255"/>
      <c r="AH6" s="355"/>
      <c r="AI6" s="355"/>
      <c r="AJ6" s="355"/>
      <c r="AK6" s="355"/>
      <c r="AL6" s="355"/>
      <c r="AM6" s="196"/>
      <c r="AN6" s="355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87"/>
      <c r="BI6" s="87"/>
      <c r="BJ6" s="87"/>
      <c r="BK6" s="87"/>
    </row>
    <row r="7" spans="1:63" s="78" customFormat="1" ht="25.5" customHeight="1">
      <c r="A7" s="322"/>
      <c r="B7" s="324"/>
      <c r="C7" s="322"/>
      <c r="D7" s="218"/>
      <c r="E7" s="218"/>
      <c r="F7" s="218"/>
      <c r="G7" s="218"/>
      <c r="H7" s="196"/>
      <c r="I7" s="196"/>
      <c r="J7" s="196"/>
      <c r="K7" s="196"/>
      <c r="L7" s="356"/>
      <c r="M7" s="196"/>
      <c r="N7" s="196"/>
      <c r="O7" s="356"/>
      <c r="P7" s="356"/>
      <c r="Q7" s="356"/>
      <c r="R7" s="196"/>
      <c r="S7" s="196"/>
      <c r="T7" s="196"/>
      <c r="U7" s="196"/>
      <c r="V7" s="197"/>
      <c r="W7" s="196"/>
      <c r="X7" s="196"/>
      <c r="Y7" s="356"/>
      <c r="Z7" s="356"/>
      <c r="AA7" s="356"/>
      <c r="AB7" s="356"/>
      <c r="AC7" s="196"/>
      <c r="AD7" s="196"/>
      <c r="AE7" s="196"/>
      <c r="AF7" s="196"/>
      <c r="AG7" s="256"/>
      <c r="AH7" s="356"/>
      <c r="AI7" s="356"/>
      <c r="AJ7" s="356"/>
      <c r="AK7" s="356"/>
      <c r="AL7" s="356"/>
      <c r="AM7" s="196"/>
      <c r="AN7" s="356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87"/>
      <c r="BI7" s="87"/>
      <c r="BJ7" s="87"/>
      <c r="BK7" s="87"/>
    </row>
    <row r="8" spans="1:59" s="78" customFormat="1" ht="22.5" customHeight="1">
      <c r="A8" s="329">
        <v>2</v>
      </c>
      <c r="B8" s="329" t="s">
        <v>99</v>
      </c>
      <c r="C8" s="329">
        <v>2632.4</v>
      </c>
      <c r="D8" s="215"/>
      <c r="E8" s="215"/>
      <c r="F8" s="215"/>
      <c r="G8" s="215"/>
      <c r="H8" s="193"/>
      <c r="I8" s="193"/>
      <c r="J8" s="193"/>
      <c r="K8" s="193"/>
      <c r="L8" s="357" t="s">
        <v>100</v>
      </c>
      <c r="M8" s="193"/>
      <c r="N8" s="193"/>
      <c r="O8" s="357"/>
      <c r="P8" s="357" t="s">
        <v>100</v>
      </c>
      <c r="Q8" s="357" t="s">
        <v>100</v>
      </c>
      <c r="R8" s="193"/>
      <c r="S8" s="193"/>
      <c r="T8" s="193"/>
      <c r="U8" s="193"/>
      <c r="V8" s="195"/>
      <c r="W8" s="193" t="s">
        <v>166</v>
      </c>
      <c r="X8" s="193">
        <v>5</v>
      </c>
      <c r="Y8" s="357"/>
      <c r="Z8" s="357"/>
      <c r="AA8" s="357"/>
      <c r="AB8" s="357"/>
      <c r="AC8" s="193"/>
      <c r="AD8" s="193"/>
      <c r="AE8" s="193"/>
      <c r="AF8" s="193"/>
      <c r="AG8" s="357">
        <v>609</v>
      </c>
      <c r="AH8" s="357"/>
      <c r="AI8" s="357" t="s">
        <v>100</v>
      </c>
      <c r="AJ8" s="357">
        <v>3</v>
      </c>
      <c r="AK8" s="357">
        <v>2</v>
      </c>
      <c r="AL8" s="357">
        <v>1</v>
      </c>
      <c r="AM8" s="193" t="s">
        <v>158</v>
      </c>
      <c r="AN8" s="357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</row>
    <row r="9" spans="1:59" s="78" customFormat="1" ht="12" customHeight="1">
      <c r="A9" s="338"/>
      <c r="B9" s="338"/>
      <c r="C9" s="338"/>
      <c r="D9" s="217"/>
      <c r="E9" s="217"/>
      <c r="F9" s="217"/>
      <c r="G9" s="217"/>
      <c r="H9" s="193"/>
      <c r="I9" s="193"/>
      <c r="J9" s="193"/>
      <c r="K9" s="193"/>
      <c r="L9" s="358"/>
      <c r="M9" s="193"/>
      <c r="N9" s="193"/>
      <c r="O9" s="358"/>
      <c r="P9" s="358"/>
      <c r="Q9" s="358"/>
      <c r="R9" s="193"/>
      <c r="S9" s="193"/>
      <c r="T9" s="193"/>
      <c r="U9" s="193"/>
      <c r="V9" s="195"/>
      <c r="W9" s="193"/>
      <c r="X9" s="193"/>
      <c r="Y9" s="358"/>
      <c r="Z9" s="358"/>
      <c r="AA9" s="358"/>
      <c r="AB9" s="358"/>
      <c r="AC9" s="193"/>
      <c r="AD9" s="193"/>
      <c r="AE9" s="193"/>
      <c r="AF9" s="193"/>
      <c r="AG9" s="358"/>
      <c r="AH9" s="358"/>
      <c r="AI9" s="358"/>
      <c r="AJ9" s="358"/>
      <c r="AK9" s="358"/>
      <c r="AL9" s="358"/>
      <c r="AM9" s="193"/>
      <c r="AN9" s="358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</row>
    <row r="10" spans="1:59" s="46" customFormat="1" ht="12" customHeight="1">
      <c r="A10" s="313">
        <v>3</v>
      </c>
      <c r="B10" s="323" t="s">
        <v>35</v>
      </c>
      <c r="C10" s="313">
        <v>964.1</v>
      </c>
      <c r="D10" s="120" t="s">
        <v>149</v>
      </c>
      <c r="E10" s="232">
        <v>1</v>
      </c>
      <c r="F10" s="232"/>
      <c r="G10" s="232"/>
      <c r="H10" s="196"/>
      <c r="I10" s="196"/>
      <c r="J10" s="196"/>
      <c r="K10" s="196"/>
      <c r="L10" s="354" t="s">
        <v>100</v>
      </c>
      <c r="M10" s="196">
        <v>2</v>
      </c>
      <c r="N10" s="196"/>
      <c r="O10" s="354"/>
      <c r="P10" s="354" t="s">
        <v>100</v>
      </c>
      <c r="Q10" s="354" t="s">
        <v>100</v>
      </c>
      <c r="R10" s="196"/>
      <c r="S10" s="196"/>
      <c r="T10" s="196"/>
      <c r="U10" s="196"/>
      <c r="V10" s="197"/>
      <c r="W10" s="196" t="s">
        <v>136</v>
      </c>
      <c r="X10" s="196">
        <v>5</v>
      </c>
      <c r="Y10" s="354"/>
      <c r="Z10" s="354"/>
      <c r="AA10" s="354"/>
      <c r="AB10" s="354"/>
      <c r="AC10" s="196"/>
      <c r="AD10" s="354" t="s">
        <v>100</v>
      </c>
      <c r="AE10" s="196"/>
      <c r="AF10" s="196"/>
      <c r="AG10" s="254"/>
      <c r="AH10" s="254"/>
      <c r="AI10" s="354" t="s">
        <v>100</v>
      </c>
      <c r="AJ10" s="354"/>
      <c r="AK10" s="354">
        <v>3</v>
      </c>
      <c r="AL10" s="354"/>
      <c r="AM10" s="196"/>
      <c r="AN10" s="354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</row>
    <row r="11" spans="1:59" s="46" customFormat="1" ht="12" customHeight="1">
      <c r="A11" s="322"/>
      <c r="B11" s="324"/>
      <c r="C11" s="322"/>
      <c r="D11" s="232"/>
      <c r="E11" s="232"/>
      <c r="F11" s="232"/>
      <c r="G11" s="232"/>
      <c r="H11" s="196"/>
      <c r="I11" s="196"/>
      <c r="J11" s="196"/>
      <c r="K11" s="196"/>
      <c r="L11" s="355"/>
      <c r="M11" s="196"/>
      <c r="N11" s="196"/>
      <c r="O11" s="355"/>
      <c r="P11" s="355"/>
      <c r="Q11" s="355"/>
      <c r="R11" s="196"/>
      <c r="S11" s="196"/>
      <c r="T11" s="196"/>
      <c r="U11" s="196"/>
      <c r="V11" s="196"/>
      <c r="W11" s="196"/>
      <c r="X11" s="196"/>
      <c r="Y11" s="355"/>
      <c r="Z11" s="355"/>
      <c r="AA11" s="355"/>
      <c r="AB11" s="355"/>
      <c r="AC11" s="196"/>
      <c r="AD11" s="355"/>
      <c r="AE11" s="196"/>
      <c r="AF11" s="196"/>
      <c r="AG11" s="255"/>
      <c r="AH11" s="255"/>
      <c r="AI11" s="355"/>
      <c r="AJ11" s="355"/>
      <c r="AK11" s="355"/>
      <c r="AL11" s="355"/>
      <c r="AM11" s="196"/>
      <c r="AN11" s="355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</row>
    <row r="12" spans="1:59" s="46" customFormat="1" ht="12" customHeight="1">
      <c r="A12" s="314"/>
      <c r="B12" s="362"/>
      <c r="C12" s="314"/>
      <c r="D12" s="232"/>
      <c r="E12" s="232"/>
      <c r="F12" s="232"/>
      <c r="G12" s="232"/>
      <c r="H12" s="196"/>
      <c r="I12" s="196"/>
      <c r="J12" s="196"/>
      <c r="K12" s="196"/>
      <c r="L12" s="356"/>
      <c r="M12" s="196"/>
      <c r="N12" s="196"/>
      <c r="O12" s="356"/>
      <c r="P12" s="356"/>
      <c r="Q12" s="356"/>
      <c r="R12" s="196"/>
      <c r="S12" s="196"/>
      <c r="T12" s="196"/>
      <c r="U12" s="196"/>
      <c r="V12" s="196"/>
      <c r="W12" s="196"/>
      <c r="X12" s="196"/>
      <c r="Y12" s="356"/>
      <c r="Z12" s="356"/>
      <c r="AA12" s="356"/>
      <c r="AB12" s="356"/>
      <c r="AC12" s="196"/>
      <c r="AD12" s="356"/>
      <c r="AE12" s="196"/>
      <c r="AF12" s="196"/>
      <c r="AG12" s="256"/>
      <c r="AH12" s="256"/>
      <c r="AI12" s="356"/>
      <c r="AJ12" s="356"/>
      <c r="AK12" s="356"/>
      <c r="AL12" s="356"/>
      <c r="AM12" s="196"/>
      <c r="AN12" s="356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</row>
    <row r="13" spans="1:59" s="48" customFormat="1" ht="12" customHeight="1">
      <c r="A13" s="329">
        <v>4</v>
      </c>
      <c r="B13" s="325" t="s">
        <v>36</v>
      </c>
      <c r="C13" s="329">
        <v>1349.5</v>
      </c>
      <c r="D13" s="126" t="s">
        <v>149</v>
      </c>
      <c r="E13" s="231">
        <v>1</v>
      </c>
      <c r="F13" s="215"/>
      <c r="G13" s="215"/>
      <c r="H13" s="357"/>
      <c r="I13" s="193"/>
      <c r="J13" s="193"/>
      <c r="K13" s="193"/>
      <c r="L13" s="357" t="s">
        <v>100</v>
      </c>
      <c r="M13" s="193"/>
      <c r="N13" s="193"/>
      <c r="O13" s="357"/>
      <c r="P13" s="357" t="s">
        <v>100</v>
      </c>
      <c r="Q13" s="357" t="s">
        <v>100</v>
      </c>
      <c r="R13" s="193"/>
      <c r="S13" s="193"/>
      <c r="T13" s="193"/>
      <c r="U13" s="193"/>
      <c r="V13" s="193"/>
      <c r="W13" s="193"/>
      <c r="X13" s="193"/>
      <c r="Y13" s="357"/>
      <c r="Z13" s="357"/>
      <c r="AA13" s="357"/>
      <c r="AB13" s="357"/>
      <c r="AC13" s="193"/>
      <c r="AD13" s="193"/>
      <c r="AE13" s="193"/>
      <c r="AF13" s="193"/>
      <c r="AG13" s="257"/>
      <c r="AH13" s="257"/>
      <c r="AI13" s="357" t="s">
        <v>100</v>
      </c>
      <c r="AJ13" s="280"/>
      <c r="AK13" s="357">
        <v>1</v>
      </c>
      <c r="AL13" s="357"/>
      <c r="AM13" s="193"/>
      <c r="AN13" s="357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</row>
    <row r="14" spans="1:59" s="48" customFormat="1" ht="12" customHeight="1">
      <c r="A14" s="330"/>
      <c r="B14" s="326"/>
      <c r="C14" s="330"/>
      <c r="D14" s="231"/>
      <c r="E14" s="231"/>
      <c r="F14" s="216"/>
      <c r="G14" s="216"/>
      <c r="H14" s="361"/>
      <c r="I14" s="193"/>
      <c r="J14" s="193"/>
      <c r="K14" s="193"/>
      <c r="L14" s="361"/>
      <c r="M14" s="193"/>
      <c r="N14" s="193"/>
      <c r="O14" s="361"/>
      <c r="P14" s="361"/>
      <c r="Q14" s="361"/>
      <c r="R14" s="193"/>
      <c r="S14" s="193"/>
      <c r="T14" s="193"/>
      <c r="U14" s="193"/>
      <c r="V14" s="193"/>
      <c r="W14" s="193"/>
      <c r="X14" s="193"/>
      <c r="Y14" s="361"/>
      <c r="Z14" s="361"/>
      <c r="AA14" s="361"/>
      <c r="AB14" s="361"/>
      <c r="AC14" s="193"/>
      <c r="AD14" s="193"/>
      <c r="AE14" s="193"/>
      <c r="AF14" s="193"/>
      <c r="AG14" s="260"/>
      <c r="AH14" s="260"/>
      <c r="AI14" s="361"/>
      <c r="AJ14" s="282"/>
      <c r="AK14" s="361"/>
      <c r="AL14" s="361"/>
      <c r="AM14" s="193"/>
      <c r="AN14" s="361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</row>
    <row r="15" spans="1:59" s="48" customFormat="1" ht="12" customHeight="1">
      <c r="A15" s="338"/>
      <c r="B15" s="347"/>
      <c r="C15" s="338"/>
      <c r="D15" s="231"/>
      <c r="E15" s="231"/>
      <c r="F15" s="217"/>
      <c r="G15" s="217"/>
      <c r="H15" s="358"/>
      <c r="I15" s="193"/>
      <c r="J15" s="193"/>
      <c r="K15" s="193"/>
      <c r="L15" s="358"/>
      <c r="M15" s="193"/>
      <c r="N15" s="193"/>
      <c r="O15" s="358"/>
      <c r="P15" s="358"/>
      <c r="Q15" s="358"/>
      <c r="R15" s="193"/>
      <c r="S15" s="193"/>
      <c r="T15" s="193"/>
      <c r="U15" s="193"/>
      <c r="V15" s="193"/>
      <c r="W15" s="193"/>
      <c r="X15" s="193"/>
      <c r="Y15" s="358"/>
      <c r="Z15" s="358"/>
      <c r="AA15" s="358"/>
      <c r="AB15" s="358"/>
      <c r="AC15" s="193"/>
      <c r="AD15" s="193"/>
      <c r="AE15" s="200"/>
      <c r="AF15" s="200"/>
      <c r="AG15" s="309"/>
      <c r="AH15" s="309"/>
      <c r="AI15" s="358"/>
      <c r="AJ15" s="281"/>
      <c r="AK15" s="358"/>
      <c r="AL15" s="358"/>
      <c r="AM15" s="193"/>
      <c r="AN15" s="358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</row>
    <row r="16" spans="1:59" s="49" customFormat="1" ht="27.75" customHeight="1">
      <c r="A16" s="165">
        <v>5</v>
      </c>
      <c r="B16" s="166" t="s">
        <v>78</v>
      </c>
      <c r="C16" s="165">
        <v>596.72</v>
      </c>
      <c r="D16" s="214"/>
      <c r="E16" s="214"/>
      <c r="F16" s="214"/>
      <c r="G16" s="214"/>
      <c r="H16" s="197"/>
      <c r="I16" s="197"/>
      <c r="J16" s="196"/>
      <c r="K16" s="196"/>
      <c r="L16" s="196" t="s">
        <v>100</v>
      </c>
      <c r="M16" s="197"/>
      <c r="N16" s="197"/>
      <c r="O16" s="196"/>
      <c r="P16" s="196" t="s">
        <v>100</v>
      </c>
      <c r="Q16" s="196" t="s">
        <v>100</v>
      </c>
      <c r="R16" s="197"/>
      <c r="S16" s="197"/>
      <c r="T16" s="197"/>
      <c r="U16" s="197"/>
      <c r="V16" s="197"/>
      <c r="W16" s="197"/>
      <c r="X16" s="197"/>
      <c r="Y16" s="197"/>
      <c r="Z16" s="197"/>
      <c r="AA16" s="196"/>
      <c r="AB16" s="197"/>
      <c r="AC16" s="197"/>
      <c r="AD16" s="197"/>
      <c r="AE16" s="197"/>
      <c r="AF16" s="197"/>
      <c r="AG16" s="197"/>
      <c r="AH16" s="197"/>
      <c r="AI16" s="196" t="s">
        <v>100</v>
      </c>
      <c r="AJ16" s="196"/>
      <c r="AK16" s="197"/>
      <c r="AL16" s="197"/>
      <c r="AM16" s="197"/>
      <c r="AN16" s="197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</row>
    <row r="17" spans="1:59" s="48" customFormat="1" ht="27.75" customHeight="1">
      <c r="A17" s="164">
        <v>6</v>
      </c>
      <c r="B17" s="167" t="s">
        <v>79</v>
      </c>
      <c r="C17" s="164">
        <v>587.5</v>
      </c>
      <c r="D17" s="215"/>
      <c r="E17" s="215"/>
      <c r="F17" s="215"/>
      <c r="G17" s="215"/>
      <c r="H17" s="195"/>
      <c r="I17" s="195"/>
      <c r="J17" s="193"/>
      <c r="K17" s="193"/>
      <c r="L17" s="193" t="s">
        <v>100</v>
      </c>
      <c r="M17" s="195"/>
      <c r="N17" s="195"/>
      <c r="O17" s="193"/>
      <c r="P17" s="193" t="s">
        <v>100</v>
      </c>
      <c r="Q17" s="193" t="s">
        <v>100</v>
      </c>
      <c r="R17" s="195"/>
      <c r="S17" s="195"/>
      <c r="T17" s="195"/>
      <c r="U17" s="195"/>
      <c r="V17" s="195"/>
      <c r="W17" s="195"/>
      <c r="X17" s="195"/>
      <c r="Y17" s="195"/>
      <c r="Z17" s="195"/>
      <c r="AA17" s="193"/>
      <c r="AB17" s="195"/>
      <c r="AC17" s="195"/>
      <c r="AD17" s="195"/>
      <c r="AE17" s="195"/>
      <c r="AF17" s="195"/>
      <c r="AG17" s="195"/>
      <c r="AH17" s="195"/>
      <c r="AI17" s="193"/>
      <c r="AJ17" s="193"/>
      <c r="AK17" s="195"/>
      <c r="AL17" s="195"/>
      <c r="AM17" s="195"/>
      <c r="AN17" s="195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</row>
    <row r="18" spans="1:59" s="49" customFormat="1" ht="27" customHeight="1">
      <c r="A18" s="165">
        <v>7</v>
      </c>
      <c r="B18" s="166" t="s">
        <v>80</v>
      </c>
      <c r="C18" s="165">
        <v>582.4</v>
      </c>
      <c r="D18" s="214"/>
      <c r="E18" s="214"/>
      <c r="F18" s="214">
        <v>1</v>
      </c>
      <c r="G18" s="219" t="s">
        <v>171</v>
      </c>
      <c r="H18" s="197"/>
      <c r="I18" s="197"/>
      <c r="J18" s="197"/>
      <c r="K18" s="197"/>
      <c r="L18" s="196" t="s">
        <v>100</v>
      </c>
      <c r="M18" s="197"/>
      <c r="N18" s="197"/>
      <c r="O18" s="196"/>
      <c r="P18" s="196" t="s">
        <v>100</v>
      </c>
      <c r="Q18" s="196" t="s">
        <v>100</v>
      </c>
      <c r="R18" s="197"/>
      <c r="S18" s="197"/>
      <c r="T18" s="197"/>
      <c r="U18" s="197"/>
      <c r="V18" s="197"/>
      <c r="W18" s="197"/>
      <c r="X18" s="197"/>
      <c r="Y18" s="197"/>
      <c r="Z18" s="197"/>
      <c r="AA18" s="196"/>
      <c r="AB18" s="197"/>
      <c r="AC18" s="197"/>
      <c r="AD18" s="197"/>
      <c r="AE18" s="197"/>
      <c r="AF18" s="197"/>
      <c r="AG18" s="197"/>
      <c r="AH18" s="197"/>
      <c r="AI18" s="196"/>
      <c r="AJ18" s="196"/>
      <c r="AK18" s="197"/>
      <c r="AL18" s="197"/>
      <c r="AM18" s="197"/>
      <c r="AN18" s="197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</row>
    <row r="19" spans="1:59" s="46" customFormat="1" ht="12" customHeight="1">
      <c r="A19" s="23">
        <v>7</v>
      </c>
      <c r="B19" s="12" t="s">
        <v>3</v>
      </c>
      <c r="C19" s="23">
        <f>SUM(C5:C18)</f>
        <v>13323.92</v>
      </c>
      <c r="D19" s="23"/>
      <c r="E19" s="23"/>
      <c r="F19" s="23"/>
      <c r="G19" s="23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</row>
    <row r="21" spans="31:40" ht="12.75">
      <c r="AE21" s="74"/>
      <c r="AN21" s="160"/>
    </row>
    <row r="22" spans="37:39" ht="12.75">
      <c r="AK22" s="26"/>
      <c r="AL22" s="26"/>
      <c r="AM22" s="26"/>
    </row>
  </sheetData>
  <sheetProtection/>
  <autoFilter ref="A1:AN19"/>
  <mergeCells count="76">
    <mergeCell ref="AJ8:AJ9"/>
    <mergeCell ref="AJ5:AJ7"/>
    <mergeCell ref="AJ10:AJ12"/>
    <mergeCell ref="AD10:AD12"/>
    <mergeCell ref="D2:E2"/>
    <mergeCell ref="Q5:Q7"/>
    <mergeCell ref="Q8:Q9"/>
    <mergeCell ref="Q10:Q12"/>
    <mergeCell ref="AA8:AA9"/>
    <mergeCell ref="P5:P7"/>
    <mergeCell ref="Q13:Q15"/>
    <mergeCell ref="F2:G2"/>
    <mergeCell ref="AA13:AA15"/>
    <mergeCell ref="W2:X2"/>
    <mergeCell ref="H13:H15"/>
    <mergeCell ref="AN13:AN15"/>
    <mergeCell ref="Y5:Y7"/>
    <mergeCell ref="Y8:Y9"/>
    <mergeCell ref="Y10:Y12"/>
    <mergeCell ref="Y13:Y15"/>
    <mergeCell ref="AL5:AL7"/>
    <mergeCell ref="AL8:AL9"/>
    <mergeCell ref="AN5:AN7"/>
    <mergeCell ref="AN8:AN9"/>
    <mergeCell ref="AN10:AN12"/>
    <mergeCell ref="AL10:AL12"/>
    <mergeCell ref="AB5:AB7"/>
    <mergeCell ref="AA10:AA12"/>
    <mergeCell ref="AL13:AL15"/>
    <mergeCell ref="L13:L15"/>
    <mergeCell ref="AK5:AK7"/>
    <mergeCell ref="AK8:AK9"/>
    <mergeCell ref="AK10:AK12"/>
    <mergeCell ref="O5:O7"/>
    <mergeCell ref="AB13:AB15"/>
    <mergeCell ref="AB8:AB9"/>
    <mergeCell ref="AK13:AK15"/>
    <mergeCell ref="A10:A12"/>
    <mergeCell ref="P8:P9"/>
    <mergeCell ref="P10:P12"/>
    <mergeCell ref="A13:A15"/>
    <mergeCell ref="B10:B12"/>
    <mergeCell ref="B13:B15"/>
    <mergeCell ref="Z8:Z9"/>
    <mergeCell ref="Z10:Z12"/>
    <mergeCell ref="AB10:AB12"/>
    <mergeCell ref="B8:B9"/>
    <mergeCell ref="A8:A9"/>
    <mergeCell ref="C13:C15"/>
    <mergeCell ref="O13:O15"/>
    <mergeCell ref="C10:C12"/>
    <mergeCell ref="C8:C9"/>
    <mergeCell ref="L10:L12"/>
    <mergeCell ref="O8:O9"/>
    <mergeCell ref="O10:O12"/>
    <mergeCell ref="L8:L9"/>
    <mergeCell ref="Z13:Z15"/>
    <mergeCell ref="AA5:AA7"/>
    <mergeCell ref="P13:P15"/>
    <mergeCell ref="AE2:AF2"/>
    <mergeCell ref="T2:V2"/>
    <mergeCell ref="A5:A7"/>
    <mergeCell ref="B5:B7"/>
    <mergeCell ref="J2:K2"/>
    <mergeCell ref="R2:S2"/>
    <mergeCell ref="Z5:Z7"/>
    <mergeCell ref="M2:N2"/>
    <mergeCell ref="L5:L7"/>
    <mergeCell ref="C5:C7"/>
    <mergeCell ref="AI13:AI15"/>
    <mergeCell ref="AH8:AH9"/>
    <mergeCell ref="AH5:AH7"/>
    <mergeCell ref="AG8:AG9"/>
    <mergeCell ref="AI5:AI7"/>
    <mergeCell ref="AI8:AI9"/>
    <mergeCell ref="AI10:AI12"/>
  </mergeCells>
  <printOptions/>
  <pageMargins left="0.18" right="0.17" top="0.3937007874015748" bottom="0.3937007874015748" header="0" footer="0"/>
  <pageSetup horizontalDpi="300" verticalDpi="3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Q23"/>
  <sheetViews>
    <sheetView zoomScalePageLayoutView="0" workbookViewId="0" topLeftCell="A1">
      <pane xSplit="3" ySplit="4" topLeftCell="Y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O9" sqref="AO9"/>
    </sheetView>
  </sheetViews>
  <sheetFormatPr defaultColWidth="9.140625" defaultRowHeight="12.75"/>
  <cols>
    <col min="1" max="1" width="6.28125" style="27" customWidth="1"/>
    <col min="2" max="2" width="17.421875" style="26" customWidth="1"/>
    <col min="3" max="3" width="12.8515625" style="26" customWidth="1"/>
    <col min="4" max="4" width="10.28125" style="0" customWidth="1"/>
    <col min="5" max="5" width="9.140625" style="0" customWidth="1"/>
    <col min="6" max="7" width="9.8515625" style="0" customWidth="1"/>
    <col min="8" max="8" width="10.57421875" style="0" customWidth="1"/>
    <col min="9" max="9" width="12.140625" style="0" customWidth="1"/>
    <col min="10" max="10" width="12.00390625" style="0" customWidth="1"/>
    <col min="11" max="11" width="11.7109375" style="0" customWidth="1"/>
    <col min="12" max="12" width="12.140625" style="0" customWidth="1"/>
    <col min="13" max="13" width="11.421875" style="0" customWidth="1"/>
    <col min="14" max="14" width="11.28125" style="0" customWidth="1"/>
    <col min="15" max="15" width="11.8515625" style="0" customWidth="1"/>
    <col min="16" max="16" width="9.8515625" style="0" bestFit="1" customWidth="1"/>
    <col min="17" max="28" width="9.00390625" style="0" customWidth="1"/>
    <col min="29" max="29" width="9.8515625" style="0" bestFit="1" customWidth="1"/>
    <col min="30" max="32" width="8.140625" style="0" customWidth="1"/>
    <col min="33" max="33" width="8.421875" style="0" customWidth="1"/>
    <col min="34" max="34" width="8.140625" style="0" customWidth="1"/>
    <col min="35" max="35" width="9.00390625" style="0" customWidth="1"/>
    <col min="36" max="37" width="8.140625" style="0" customWidth="1"/>
    <col min="38" max="38" width="9.28125" style="0" customWidth="1"/>
    <col min="39" max="40" width="8.140625" style="0" customWidth="1"/>
    <col min="41" max="41" width="7.8515625" style="0" customWidth="1"/>
    <col min="42" max="42" width="9.8515625" style="0" bestFit="1" customWidth="1"/>
    <col min="43" max="43" width="11.140625" style="0" bestFit="1" customWidth="1"/>
  </cols>
  <sheetData>
    <row r="1" spans="1:4" ht="15" customHeight="1">
      <c r="A1" s="1"/>
      <c r="B1" s="2"/>
      <c r="C1" s="2"/>
      <c r="D1" s="3"/>
    </row>
    <row r="2" spans="1:43" ht="12.75">
      <c r="A2" s="363" t="s">
        <v>135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</row>
    <row r="3" spans="1:9" ht="13.5" thickBot="1">
      <c r="A3" s="367"/>
      <c r="B3" s="367"/>
      <c r="C3" s="367"/>
      <c r="D3" s="367"/>
      <c r="E3" s="367"/>
      <c r="F3" s="367"/>
      <c r="G3" s="367"/>
      <c r="H3" s="367"/>
      <c r="I3" s="367"/>
    </row>
    <row r="4" spans="1:43" ht="21" thickBot="1">
      <c r="A4" s="4" t="s">
        <v>0</v>
      </c>
      <c r="B4" s="5" t="s">
        <v>1</v>
      </c>
      <c r="C4" s="6" t="s">
        <v>2</v>
      </c>
      <c r="D4" s="364" t="s">
        <v>38</v>
      </c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6"/>
      <c r="Q4" s="364" t="s">
        <v>39</v>
      </c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6"/>
      <c r="AD4" s="364" t="s">
        <v>40</v>
      </c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6"/>
      <c r="AQ4" s="28" t="s">
        <v>41</v>
      </c>
    </row>
    <row r="5" spans="1:43" ht="12" customHeight="1" thickBot="1">
      <c r="A5" s="14"/>
      <c r="B5" s="15" t="s">
        <v>4</v>
      </c>
      <c r="C5" s="16"/>
      <c r="D5" s="29" t="s">
        <v>42</v>
      </c>
      <c r="E5" s="29" t="s">
        <v>43</v>
      </c>
      <c r="F5" s="29" t="s">
        <v>44</v>
      </c>
      <c r="G5" s="29" t="s">
        <v>45</v>
      </c>
      <c r="H5" s="29" t="s">
        <v>46</v>
      </c>
      <c r="I5" s="29" t="s">
        <v>47</v>
      </c>
      <c r="J5" s="29" t="s">
        <v>48</v>
      </c>
      <c r="K5" s="29" t="s">
        <v>49</v>
      </c>
      <c r="L5" s="29" t="s">
        <v>50</v>
      </c>
      <c r="M5" s="29" t="s">
        <v>51</v>
      </c>
      <c r="N5" s="29" t="s">
        <v>52</v>
      </c>
      <c r="O5" s="29" t="s">
        <v>53</v>
      </c>
      <c r="P5" s="30" t="s">
        <v>54</v>
      </c>
      <c r="Q5" s="30" t="s">
        <v>42</v>
      </c>
      <c r="R5" s="30" t="s">
        <v>43</v>
      </c>
      <c r="S5" s="30" t="s">
        <v>44</v>
      </c>
      <c r="T5" s="30" t="s">
        <v>45</v>
      </c>
      <c r="U5" s="30" t="s">
        <v>46</v>
      </c>
      <c r="V5" s="30" t="s">
        <v>47</v>
      </c>
      <c r="W5" s="30" t="s">
        <v>48</v>
      </c>
      <c r="X5" s="30" t="s">
        <v>49</v>
      </c>
      <c r="Y5" s="30" t="s">
        <v>50</v>
      </c>
      <c r="Z5" s="30" t="s">
        <v>51</v>
      </c>
      <c r="AA5" s="30" t="s">
        <v>52</v>
      </c>
      <c r="AB5" s="30" t="s">
        <v>53</v>
      </c>
      <c r="AC5" s="30" t="s">
        <v>54</v>
      </c>
      <c r="AD5" s="30" t="s">
        <v>42</v>
      </c>
      <c r="AE5" s="30" t="s">
        <v>43</v>
      </c>
      <c r="AF5" s="30" t="s">
        <v>44</v>
      </c>
      <c r="AG5" s="30" t="s">
        <v>45</v>
      </c>
      <c r="AH5" s="30" t="s">
        <v>46</v>
      </c>
      <c r="AI5" s="30" t="s">
        <v>47</v>
      </c>
      <c r="AJ5" s="30" t="s">
        <v>48</v>
      </c>
      <c r="AK5" s="30" t="s">
        <v>49</v>
      </c>
      <c r="AL5" s="30" t="s">
        <v>50</v>
      </c>
      <c r="AM5" s="30" t="s">
        <v>51</v>
      </c>
      <c r="AN5" s="30" t="s">
        <v>52</v>
      </c>
      <c r="AO5" s="30" t="s">
        <v>53</v>
      </c>
      <c r="AP5" s="30" t="s">
        <v>54</v>
      </c>
      <c r="AQ5" s="31"/>
    </row>
    <row r="6" spans="1:43" ht="12" customHeight="1">
      <c r="A6" s="17">
        <v>1</v>
      </c>
      <c r="B6" s="45" t="s">
        <v>5</v>
      </c>
      <c r="C6" s="88">
        <v>3308.16</v>
      </c>
      <c r="D6" s="99"/>
      <c r="E6" s="99"/>
      <c r="F6" s="99">
        <f>11941.3</f>
        <v>11941.3</v>
      </c>
      <c r="G6" s="99"/>
      <c r="H6" s="99"/>
      <c r="I6" s="99"/>
      <c r="J6" s="99">
        <f>42180.39</f>
        <v>42180.39</v>
      </c>
      <c r="K6" s="99">
        <f>604.55</f>
        <v>604.55</v>
      </c>
      <c r="L6" s="99"/>
      <c r="M6" s="99"/>
      <c r="N6" s="99"/>
      <c r="O6" s="99"/>
      <c r="P6" s="99">
        <f>SUM(D6:O6)</f>
        <v>54726.240000000005</v>
      </c>
      <c r="Q6" s="99">
        <f>C6*395084.84/117788.23</f>
        <v>11096.217884370959</v>
      </c>
      <c r="R6" s="99">
        <f>C6*394125.33/117783.21</f>
        <v>11069.741193951158</v>
      </c>
      <c r="S6" s="99">
        <f>C6*375496.07/117783.31</f>
        <v>10546.494906037196</v>
      </c>
      <c r="T6" s="99">
        <f>C6*393605.73/117782.81</f>
        <v>11055.184808010608</v>
      </c>
      <c r="U6" s="99">
        <f>C6*396218.88/117779.21</f>
        <v>11128.920376192029</v>
      </c>
      <c r="V6" s="99">
        <f>C6*398895.03/117778.91</f>
        <v>11204.11610571706</v>
      </c>
      <c r="W6" s="99">
        <f>C6*399138.1/117779.01</f>
        <v>11210.933908308449</v>
      </c>
      <c r="X6" s="99">
        <f>C6*399125.56/117775.31</f>
        <v>11210.933875441295</v>
      </c>
      <c r="Y6" s="99">
        <f>C6*387842.91/117767.21</f>
        <v>10894.767746859246</v>
      </c>
      <c r="Z6" s="99">
        <f>C6*399096.75/117766.81</f>
        <v>11210.933746783156</v>
      </c>
      <c r="AA6" s="106">
        <f>C6*384546.83/113473.37</f>
        <v>11210.933817624347</v>
      </c>
      <c r="AB6" s="106">
        <f>C6*384567.84/113479.57</f>
        <v>11210.933788120627</v>
      </c>
      <c r="AC6" s="99">
        <f>SUM(Q6:AB6)</f>
        <v>133050.11215741612</v>
      </c>
      <c r="AD6" s="99">
        <f>C6*16874.97/117788.23</f>
        <v>473.94464417370057</v>
      </c>
      <c r="AE6" s="106">
        <f>C6*34963.28/117783.21</f>
        <v>982.008593285919</v>
      </c>
      <c r="AF6" s="99">
        <f>C6*46264.68/117783.31</f>
        <v>1299.4282788350913</v>
      </c>
      <c r="AG6" s="99">
        <f>C6*68733.89/117782.81</f>
        <v>1930.5253928175089</v>
      </c>
      <c r="AH6" s="99">
        <f>C6*36198.99/117779.21</f>
        <v>1016.7503310507855</v>
      </c>
      <c r="AI6" s="99">
        <f>C6*41351.61/117778.91</f>
        <v>1161.4790978928231</v>
      </c>
      <c r="AJ6" s="99">
        <f>C6*39712.38/117779.01</f>
        <v>1115.435653779056</v>
      </c>
      <c r="AK6" s="99"/>
      <c r="AL6" s="99">
        <f>C6*36087.03/117767.21</f>
        <v>1013.7089022046118</v>
      </c>
      <c r="AM6" s="99">
        <f>C6*83426.77/117766.81</f>
        <v>2343.521943433808</v>
      </c>
      <c r="AN6" s="99">
        <f>C6*73586.44/113473.37</f>
        <v>2145.311427257338</v>
      </c>
      <c r="AO6" s="114">
        <f>C6*46198.99/113479.57</f>
        <v>1346.7944120549628</v>
      </c>
      <c r="AP6" s="99">
        <f>SUM(AD6:AO6)</f>
        <v>14828.908676785606</v>
      </c>
      <c r="AQ6" s="99">
        <f>P6+AC6+AP6</f>
        <v>202605.2608342017</v>
      </c>
    </row>
    <row r="7" spans="1:43" ht="12" customHeight="1">
      <c r="A7" s="17">
        <v>2</v>
      </c>
      <c r="B7" s="112" t="s">
        <v>101</v>
      </c>
      <c r="C7" s="88">
        <v>3164.5</v>
      </c>
      <c r="D7" s="99"/>
      <c r="E7" s="99"/>
      <c r="F7" s="99"/>
      <c r="G7" s="99"/>
      <c r="H7" s="99"/>
      <c r="I7" s="99"/>
      <c r="J7" s="99"/>
      <c r="K7" s="99">
        <f>604.55+42180.39+6273.31</f>
        <v>49058.25</v>
      </c>
      <c r="L7" s="99"/>
      <c r="M7" s="99">
        <f>8357.47+31200+14000</f>
        <v>53557.47</v>
      </c>
      <c r="N7" s="99"/>
      <c r="O7" s="99"/>
      <c r="P7" s="99">
        <f>SUM(D7:O7)</f>
        <v>102615.72</v>
      </c>
      <c r="Q7" s="99">
        <f>C7*395084.84/117788.23</f>
        <v>10614.354050315555</v>
      </c>
      <c r="R7" s="99">
        <f>C7*394125.33/117783.21</f>
        <v>10589.027135404103</v>
      </c>
      <c r="S7" s="99">
        <f>C7*375496.07/117783.31</f>
        <v>10088.503316089522</v>
      </c>
      <c r="T7" s="99">
        <f>C7*393605.73/117782.81</f>
        <v>10575.102874392282</v>
      </c>
      <c r="U7" s="99">
        <f>C7*396218.88/117779.21</f>
        <v>10645.636405270505</v>
      </c>
      <c r="V7" s="99">
        <f>C7*398895.03/117778.91</f>
        <v>10717.56668859476</v>
      </c>
      <c r="W7" s="99">
        <f>C7*399138.1/117779.01</f>
        <v>10724.088421612645</v>
      </c>
      <c r="X7" s="99">
        <f>C7*399125.56/117775.31</f>
        <v>10724.088390172778</v>
      </c>
      <c r="Y7" s="99">
        <f>C7*387842.91/117767.21</f>
        <v>10421.652076966075</v>
      </c>
      <c r="Z7" s="99">
        <f>C7*399096.75/117766.81</f>
        <v>10724.08826710174</v>
      </c>
      <c r="AA7" s="106">
        <f>C7*384546.83/113473.37</f>
        <v>10724.088334866587</v>
      </c>
      <c r="AB7" s="106">
        <f>C7*384567.84/113479.57</f>
        <v>10724.088306644095</v>
      </c>
      <c r="AC7" s="99">
        <f>SUM(Q7:AB7)</f>
        <v>127272.28426743063</v>
      </c>
      <c r="AD7" s="99">
        <f>C7*16874.97/117788.23</f>
        <v>453.3631464281279</v>
      </c>
      <c r="AE7" s="106">
        <f>C7*34963.28/117783.21</f>
        <v>939.3639344690979</v>
      </c>
      <c r="AF7" s="99">
        <f>C7*46264.68/117783.31</f>
        <v>1242.9993677372458</v>
      </c>
      <c r="AG7" s="99">
        <f>C7*68733.89/117782.81</f>
        <v>1846.690488238479</v>
      </c>
      <c r="AH7" s="99">
        <f>C7*36198.99/117779.21</f>
        <v>972.5969791697531</v>
      </c>
      <c r="AI7" s="99">
        <f>C7*41351.61/117778.91</f>
        <v>1111.0407614147557</v>
      </c>
      <c r="AJ7" s="99">
        <f>C7*39712.38/117779.01</f>
        <v>1066.9967977316162</v>
      </c>
      <c r="AK7" s="99"/>
      <c r="AL7" s="99">
        <f>C7*36087.03/117767.21</f>
        <v>969.6876272690845</v>
      </c>
      <c r="AM7" s="99">
        <f>C7*83426.77/117766.81</f>
        <v>2241.7522701430057</v>
      </c>
      <c r="AN7" s="99">
        <f>C7*73586.44/113473.37</f>
        <v>2052.149234485589</v>
      </c>
      <c r="AO7" s="114">
        <f>C7*46198.99/113479.57</f>
        <v>1288.308581491805</v>
      </c>
      <c r="AP7" s="99">
        <f>SUM(AD7:AO7)</f>
        <v>14184.949188578561</v>
      </c>
      <c r="AQ7" s="99">
        <f>P7+AC7+AP7</f>
        <v>244072.95345600919</v>
      </c>
    </row>
    <row r="8" spans="1:43" ht="12" customHeight="1">
      <c r="A8" s="17">
        <v>3</v>
      </c>
      <c r="B8" s="9" t="s">
        <v>6</v>
      </c>
      <c r="C8" s="89">
        <v>4286.5</v>
      </c>
      <c r="D8" s="99"/>
      <c r="E8" s="99"/>
      <c r="F8" s="99">
        <v>23072.26</v>
      </c>
      <c r="G8" s="99"/>
      <c r="H8" s="99">
        <f>13029.55</f>
        <v>13029.55</v>
      </c>
      <c r="I8" s="99">
        <f>16924.29</f>
        <v>16924.29</v>
      </c>
      <c r="J8" s="99">
        <v>42180.39</v>
      </c>
      <c r="K8" s="99">
        <f>604.55+6963.12+473632.58+34731</f>
        <v>515931.25</v>
      </c>
      <c r="L8" s="99"/>
      <c r="M8" s="99">
        <f>4000</f>
        <v>4000</v>
      </c>
      <c r="N8" s="99">
        <f>16871.31</f>
        <v>16871.31</v>
      </c>
      <c r="O8" s="99"/>
      <c r="P8" s="99">
        <f>SUM(D8:O8)</f>
        <v>632009.05</v>
      </c>
      <c r="Q8" s="99">
        <f>C8*395084.84/117788.23</f>
        <v>14377.762248910609</v>
      </c>
      <c r="R8" s="99">
        <f>C8*394125.33/117783.21</f>
        <v>14343.455464025814</v>
      </c>
      <c r="S8" s="99">
        <f>C8*375496.07/117783.31</f>
        <v>13665.466729157128</v>
      </c>
      <c r="T8" s="99">
        <f>C8*393605.73/117782.81</f>
        <v>14324.594239558388</v>
      </c>
      <c r="U8" s="99">
        <f>C8*396218.88/117779.21</f>
        <v>14420.13602502513</v>
      </c>
      <c r="V8" s="99">
        <f>C8*398895.03/117778.91</f>
        <v>14517.56979322529</v>
      </c>
      <c r="W8" s="99">
        <f>C8*399138.1/117779.01</f>
        <v>14526.403861350167</v>
      </c>
      <c r="X8" s="99">
        <f>C8*399125.56/117775.31</f>
        <v>14526.403818763034</v>
      </c>
      <c r="Y8" s="99">
        <f>C8*387842.91/117767.21</f>
        <v>14116.736175672328</v>
      </c>
      <c r="Z8" s="99">
        <f>C8*399096.75/117766.81</f>
        <v>14526.403652056128</v>
      </c>
      <c r="AA8" s="106">
        <f>C8*384546.83/113473.37</f>
        <v>14526.403743847566</v>
      </c>
      <c r="AB8" s="106">
        <f>C8*384567.84/113479.57</f>
        <v>14526.403705618553</v>
      </c>
      <c r="AC8" s="99">
        <f>SUM(Q8:AB8)</f>
        <v>172397.73945721012</v>
      </c>
      <c r="AD8" s="99">
        <f>C8*16874.97/117788.23</f>
        <v>614.1068501071796</v>
      </c>
      <c r="AE8" s="106">
        <f>C8*34963.28/117783.21</f>
        <v>1272.4232912314071</v>
      </c>
      <c r="AF8" s="99">
        <f>C8*46264.68/117783.31</f>
        <v>1683.7152124524264</v>
      </c>
      <c r="AG8" s="99">
        <f>C8*68733.89/117782.81</f>
        <v>2501.450079897058</v>
      </c>
      <c r="AH8" s="99">
        <f>C8*36198.99/117779.21</f>
        <v>1317.4393904917513</v>
      </c>
      <c r="AI8" s="99">
        <f>C8*41351.61/117778.91</f>
        <v>1504.969576174546</v>
      </c>
      <c r="AJ8" s="99">
        <f>C8*39712.38/117779.01</f>
        <v>1445.3094559888048</v>
      </c>
      <c r="AK8" s="99"/>
      <c r="AL8" s="99">
        <f>C8*36087.03/117767.21</f>
        <v>1313.4985034883648</v>
      </c>
      <c r="AM8" s="99">
        <f>C8*83426.77/117766.81</f>
        <v>3036.5843280037902</v>
      </c>
      <c r="AN8" s="99">
        <f>C8*73586.44/113473.37</f>
        <v>2779.7559467917454</v>
      </c>
      <c r="AO8" s="114">
        <f>C8*46198.99/113479.57</f>
        <v>1745.0891877277995</v>
      </c>
      <c r="AP8" s="99">
        <f>SUM(AD8:AO8)</f>
        <v>19214.341822354876</v>
      </c>
      <c r="AQ8" s="99">
        <f>P8+AC8+AP8</f>
        <v>823621.1312795649</v>
      </c>
    </row>
    <row r="9" spans="1:43" ht="12" customHeight="1">
      <c r="A9" s="18">
        <v>4</v>
      </c>
      <c r="B9" s="9" t="s">
        <v>7</v>
      </c>
      <c r="C9" s="89">
        <v>2730.6</v>
      </c>
      <c r="D9" s="99">
        <v>4247.68</v>
      </c>
      <c r="E9" s="99"/>
      <c r="F9" s="99"/>
      <c r="G9" s="99"/>
      <c r="H9" s="99"/>
      <c r="I9" s="99"/>
      <c r="J9" s="99"/>
      <c r="K9" s="99">
        <f>604.55</f>
        <v>604.55</v>
      </c>
      <c r="L9" s="99"/>
      <c r="M9" s="99"/>
      <c r="N9" s="99">
        <f>28610.74</f>
        <v>28610.74</v>
      </c>
      <c r="O9" s="99">
        <f>83976</f>
        <v>83976</v>
      </c>
      <c r="P9" s="99">
        <f>SUM(D9:O9)</f>
        <v>117438.97</v>
      </c>
      <c r="Q9" s="99">
        <f>C9*395084.84/117788.23</f>
        <v>9158.968295083474</v>
      </c>
      <c r="R9" s="99">
        <f>C9*394125.33/117783.21</f>
        <v>9137.114076768667</v>
      </c>
      <c r="S9" s="99">
        <f>C9*375496.07/117783.31</f>
        <v>8705.219514904107</v>
      </c>
      <c r="T9" s="99">
        <f>C9*393605.73/117782.81</f>
        <v>9125.09903896842</v>
      </c>
      <c r="U9" s="99">
        <f>C9*396218.88/117779.21</f>
        <v>9185.961374065932</v>
      </c>
      <c r="V9" s="99">
        <f>C9*398895.03/117778.91</f>
        <v>9248.028946082111</v>
      </c>
      <c r="W9" s="99">
        <f>C9*399138.1/117779.01</f>
        <v>9253.65645253768</v>
      </c>
      <c r="X9" s="99">
        <f>C9*399125.56/117775.31</f>
        <v>9253.656425408686</v>
      </c>
      <c r="Y9" s="99">
        <f>C9*387842.91/117767.21</f>
        <v>8992.688627386178</v>
      </c>
      <c r="Z9" s="99">
        <f>C9*399096.75/117766.81</f>
        <v>9253.656319212518</v>
      </c>
      <c r="AA9" s="106">
        <f>C9*384546.83/113473.37</f>
        <v>9253.656377685797</v>
      </c>
      <c r="AB9" s="106">
        <f>C9*384567.84/113479.57</f>
        <v>9253.656353333026</v>
      </c>
      <c r="AC9" s="99">
        <f>SUM(Q9:AB9)</f>
        <v>109821.36180143661</v>
      </c>
      <c r="AD9" s="99">
        <f>C9*16874.97/117788.23</f>
        <v>391.20031841891165</v>
      </c>
      <c r="AE9" s="106">
        <f>C9*34963.28/117783.21</f>
        <v>810.5631725268822</v>
      </c>
      <c r="AF9" s="99">
        <f>C9*46264.68/117783.31</f>
        <v>1072.5656734218117</v>
      </c>
      <c r="AG9" s="99">
        <f>C9*68733.89/117782.81</f>
        <v>1593.4817655819213</v>
      </c>
      <c r="AH9" s="99">
        <f>C9*36198.99/117779.21</f>
        <v>839.2394726879216</v>
      </c>
      <c r="AI9" s="99">
        <f>C9*41351.61/117778.91</f>
        <v>958.7005539956177</v>
      </c>
      <c r="AJ9" s="99">
        <f>C9*39712.38/117779.01</f>
        <v>920.695672582067</v>
      </c>
      <c r="AK9" s="99"/>
      <c r="AL9" s="99">
        <f>C9*36087.03/117767.21</f>
        <v>836.7290361892753</v>
      </c>
      <c r="AM9" s="99">
        <f>C9*83426.77/117766.81</f>
        <v>1934.374703382048</v>
      </c>
      <c r="AN9" s="99">
        <f>C9*73586.44/113473.37</f>
        <v>1770.7690629440197</v>
      </c>
      <c r="AO9" s="114">
        <f>C9*46198.99/113479.57</f>
        <v>1111.6623203101667</v>
      </c>
      <c r="AP9" s="99">
        <f>SUM(AD9:AO9)</f>
        <v>12239.981752040645</v>
      </c>
      <c r="AQ9" s="99">
        <f>P9+AC9+AP9</f>
        <v>239500.31355347726</v>
      </c>
    </row>
    <row r="10" spans="1:43" ht="12" customHeight="1">
      <c r="A10" s="19">
        <v>4</v>
      </c>
      <c r="B10" s="13" t="s">
        <v>3</v>
      </c>
      <c r="C10" s="90">
        <f aca="true" t="shared" si="0" ref="C10:AQ10">SUM(C6:C9)</f>
        <v>13489.76</v>
      </c>
      <c r="D10" s="100">
        <f t="shared" si="0"/>
        <v>4247.68</v>
      </c>
      <c r="E10" s="100">
        <f t="shared" si="0"/>
        <v>0</v>
      </c>
      <c r="F10" s="100">
        <f t="shared" si="0"/>
        <v>35013.56</v>
      </c>
      <c r="G10" s="100">
        <f t="shared" si="0"/>
        <v>0</v>
      </c>
      <c r="H10" s="100">
        <f t="shared" si="0"/>
        <v>13029.55</v>
      </c>
      <c r="I10" s="100">
        <f t="shared" si="0"/>
        <v>16924.29</v>
      </c>
      <c r="J10" s="100">
        <f t="shared" si="0"/>
        <v>84360.78</v>
      </c>
      <c r="K10" s="100">
        <f>SUM(K6:K9)</f>
        <v>566198.6000000001</v>
      </c>
      <c r="L10" s="100">
        <f t="shared" si="0"/>
        <v>0</v>
      </c>
      <c r="M10" s="100">
        <f t="shared" si="0"/>
        <v>57557.47</v>
      </c>
      <c r="N10" s="100">
        <f>SUM(N6:N9)</f>
        <v>45482.05</v>
      </c>
      <c r="O10" s="100">
        <f t="shared" si="0"/>
        <v>83976</v>
      </c>
      <c r="P10" s="100">
        <f t="shared" si="0"/>
        <v>906789.98</v>
      </c>
      <c r="Q10" s="100">
        <f t="shared" si="0"/>
        <v>45247.3024786806</v>
      </c>
      <c r="R10" s="100">
        <f t="shared" si="0"/>
        <v>45139.33787014974</v>
      </c>
      <c r="S10" s="100">
        <f t="shared" si="0"/>
        <v>43005.68446618796</v>
      </c>
      <c r="T10" s="100">
        <f t="shared" si="0"/>
        <v>45079.98096092969</v>
      </c>
      <c r="U10" s="100">
        <f>SUM(U6:U9)</f>
        <v>45380.654180553596</v>
      </c>
      <c r="V10" s="100">
        <f t="shared" si="0"/>
        <v>45687.281533619214</v>
      </c>
      <c r="W10" s="100">
        <f t="shared" si="0"/>
        <v>45715.08264380894</v>
      </c>
      <c r="X10" s="100">
        <f t="shared" si="0"/>
        <v>45715.08250978579</v>
      </c>
      <c r="Y10" s="100">
        <f t="shared" si="0"/>
        <v>44425.84462688383</v>
      </c>
      <c r="Z10" s="100">
        <f t="shared" si="0"/>
        <v>45715.08198515354</v>
      </c>
      <c r="AA10" s="100">
        <f>SUM(AA6:AA9)</f>
        <v>45715.082274024295</v>
      </c>
      <c r="AB10" s="100">
        <f>SUM(AB6:AB9)</f>
        <v>45715.0821537163</v>
      </c>
      <c r="AC10" s="100">
        <f>SUM(AC6:AC9)</f>
        <v>542541.4976834935</v>
      </c>
      <c r="AD10" s="100">
        <f t="shared" si="0"/>
        <v>1932.6149591279195</v>
      </c>
      <c r="AE10" s="100">
        <f t="shared" si="0"/>
        <v>4004.358991513306</v>
      </c>
      <c r="AF10" s="100">
        <f t="shared" si="0"/>
        <v>5298.708532446575</v>
      </c>
      <c r="AG10" s="100">
        <f t="shared" si="0"/>
        <v>7872.147726534967</v>
      </c>
      <c r="AH10" s="100">
        <f t="shared" si="0"/>
        <v>4146.0261734002115</v>
      </c>
      <c r="AI10" s="100">
        <f t="shared" si="0"/>
        <v>4736.1899894777425</v>
      </c>
      <c r="AJ10" s="100">
        <f t="shared" si="0"/>
        <v>4548.437580081544</v>
      </c>
      <c r="AK10" s="100">
        <f t="shared" si="0"/>
        <v>0</v>
      </c>
      <c r="AL10" s="100">
        <f t="shared" si="0"/>
        <v>4133.624069151337</v>
      </c>
      <c r="AM10" s="100">
        <f t="shared" si="0"/>
        <v>9556.23324496265</v>
      </c>
      <c r="AN10" s="100">
        <f t="shared" si="0"/>
        <v>8747.985671478693</v>
      </c>
      <c r="AO10" s="100">
        <f t="shared" si="0"/>
        <v>5491.854501584734</v>
      </c>
      <c r="AP10" s="100">
        <f t="shared" si="0"/>
        <v>60468.18143975968</v>
      </c>
      <c r="AQ10" s="100">
        <f t="shared" si="0"/>
        <v>1509799.659123253</v>
      </c>
    </row>
    <row r="11" spans="4:16" ht="12.75">
      <c r="D11" s="79"/>
      <c r="E11" s="79"/>
      <c r="F11" s="79"/>
      <c r="G11" s="79"/>
      <c r="H11" s="79"/>
      <c r="I11" s="79"/>
      <c r="J11" s="79"/>
      <c r="K11" s="80"/>
      <c r="L11" s="79"/>
      <c r="M11" s="79"/>
      <c r="N11" s="79"/>
      <c r="O11" s="79"/>
      <c r="P11" s="34"/>
    </row>
    <row r="12" spans="1:16" ht="12.75">
      <c r="A12" s="46" t="s">
        <v>66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2.75">
      <c r="A13" s="46" t="s">
        <v>67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ht="12.75">
      <c r="A14" s="46" t="s">
        <v>68</v>
      </c>
    </row>
    <row r="15" spans="1:11" ht="12.75">
      <c r="A15" s="46" t="s">
        <v>69</v>
      </c>
      <c r="K15" s="26"/>
    </row>
    <row r="16" ht="12.75">
      <c r="A16" s="46" t="s">
        <v>70</v>
      </c>
    </row>
    <row r="17" ht="12.75">
      <c r="A17" s="46"/>
    </row>
    <row r="18" ht="12.75">
      <c r="A18" s="46" t="s">
        <v>71</v>
      </c>
    </row>
    <row r="19" ht="12.75">
      <c r="A19" s="46" t="s">
        <v>72</v>
      </c>
    </row>
    <row r="20" ht="12.75">
      <c r="A20" s="46" t="s">
        <v>73</v>
      </c>
    </row>
    <row r="21" ht="12.75">
      <c r="A21" s="46" t="s">
        <v>74</v>
      </c>
    </row>
    <row r="22" ht="12.75">
      <c r="A22" s="46"/>
    </row>
    <row r="23" ht="12.75">
      <c r="A23" s="46" t="s">
        <v>75</v>
      </c>
    </row>
  </sheetData>
  <sheetProtection/>
  <autoFilter ref="A1:I10"/>
  <mergeCells count="5">
    <mergeCell ref="A2:AQ2"/>
    <mergeCell ref="Q4:AC4"/>
    <mergeCell ref="AD4:AP4"/>
    <mergeCell ref="A3:I3"/>
    <mergeCell ref="D4:P4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AS32"/>
  <sheetViews>
    <sheetView zoomScalePageLayoutView="0" workbookViewId="0" topLeftCell="A1">
      <pane xSplit="2" topLeftCell="AA1" activePane="topRight" state="frozen"/>
      <selection pane="topLeft" activeCell="A1" sqref="A1"/>
      <selection pane="topRight" activeCell="AO18" sqref="AO18"/>
    </sheetView>
  </sheetViews>
  <sheetFormatPr defaultColWidth="9.140625" defaultRowHeight="12.75"/>
  <cols>
    <col min="1" max="1" width="6.28125" style="27" customWidth="1"/>
    <col min="2" max="2" width="20.57421875" style="26" customWidth="1"/>
    <col min="3" max="3" width="9.140625" style="26" customWidth="1"/>
    <col min="4" max="4" width="9.57421875" style="0" customWidth="1"/>
    <col min="5" max="5" width="10.00390625" style="0" customWidth="1"/>
    <col min="6" max="6" width="11.00390625" style="0" customWidth="1"/>
    <col min="7" max="7" width="9.00390625" style="0" customWidth="1"/>
    <col min="8" max="9" width="9.57421875" style="0" customWidth="1"/>
    <col min="10" max="10" width="11.140625" style="0" customWidth="1"/>
    <col min="11" max="12" width="9.8515625" style="0" customWidth="1"/>
    <col min="13" max="14" width="9.57421875" style="0" customWidth="1"/>
    <col min="15" max="15" width="10.57421875" style="0" customWidth="1"/>
    <col min="16" max="16" width="10.8515625" style="0" customWidth="1"/>
    <col min="17" max="28" width="9.57421875" style="0" customWidth="1"/>
    <col min="29" max="29" width="11.140625" style="0" bestFit="1" customWidth="1"/>
    <col min="30" max="41" width="9.28125" style="0" customWidth="1"/>
    <col min="42" max="42" width="10.00390625" style="0" bestFit="1" customWidth="1"/>
    <col min="43" max="43" width="13.421875" style="0" customWidth="1"/>
    <col min="44" max="44" width="11.57421875" style="0" customWidth="1"/>
    <col min="45" max="45" width="12.421875" style="0" customWidth="1"/>
  </cols>
  <sheetData>
    <row r="1" spans="1:4" ht="15" customHeight="1">
      <c r="A1" s="1"/>
      <c r="B1" s="2"/>
      <c r="C1" s="2"/>
      <c r="D1" s="3"/>
    </row>
    <row r="2" spans="1:45" ht="12.75">
      <c r="A2" s="363" t="s">
        <v>135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</row>
    <row r="3" spans="1:9" ht="13.5" thickBot="1">
      <c r="A3" s="367"/>
      <c r="B3" s="367"/>
      <c r="C3" s="367"/>
      <c r="D3" s="367"/>
      <c r="E3" s="367"/>
      <c r="F3" s="367"/>
      <c r="G3" s="367"/>
      <c r="H3" s="367"/>
      <c r="I3" s="367"/>
    </row>
    <row r="4" spans="1:45" ht="30.75" thickBot="1">
      <c r="A4" s="4" t="s">
        <v>0</v>
      </c>
      <c r="B4" s="5" t="s">
        <v>1</v>
      </c>
      <c r="C4" s="6" t="s">
        <v>2</v>
      </c>
      <c r="D4" s="364" t="s">
        <v>38</v>
      </c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6"/>
      <c r="Q4" s="364" t="s">
        <v>39</v>
      </c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6"/>
      <c r="AD4" s="364" t="s">
        <v>40</v>
      </c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6"/>
      <c r="AQ4" s="54" t="s">
        <v>91</v>
      </c>
      <c r="AR4" s="54" t="s">
        <v>89</v>
      </c>
      <c r="AS4" s="28" t="s">
        <v>41</v>
      </c>
    </row>
    <row r="5" spans="1:45" ht="12" customHeight="1" thickBot="1">
      <c r="A5" s="14"/>
      <c r="B5" s="15" t="s">
        <v>8</v>
      </c>
      <c r="C5" s="85"/>
      <c r="D5" s="29" t="s">
        <v>42</v>
      </c>
      <c r="E5" s="29" t="s">
        <v>43</v>
      </c>
      <c r="F5" s="29" t="s">
        <v>44</v>
      </c>
      <c r="G5" s="29" t="s">
        <v>45</v>
      </c>
      <c r="H5" s="29" t="s">
        <v>46</v>
      </c>
      <c r="I5" s="29" t="s">
        <v>47</v>
      </c>
      <c r="J5" s="29" t="s">
        <v>48</v>
      </c>
      <c r="K5" s="29" t="s">
        <v>49</v>
      </c>
      <c r="L5" s="29" t="s">
        <v>50</v>
      </c>
      <c r="M5" s="29" t="s">
        <v>51</v>
      </c>
      <c r="N5" s="29" t="s">
        <v>52</v>
      </c>
      <c r="O5" s="29" t="s">
        <v>53</v>
      </c>
      <c r="P5" s="30" t="s">
        <v>54</v>
      </c>
      <c r="Q5" s="30" t="s">
        <v>42</v>
      </c>
      <c r="R5" s="30" t="s">
        <v>43</v>
      </c>
      <c r="S5" s="30" t="s">
        <v>44</v>
      </c>
      <c r="T5" s="30" t="s">
        <v>45</v>
      </c>
      <c r="U5" s="30" t="s">
        <v>46</v>
      </c>
      <c r="V5" s="30" t="s">
        <v>47</v>
      </c>
      <c r="W5" s="30" t="s">
        <v>48</v>
      </c>
      <c r="X5" s="30" t="s">
        <v>49</v>
      </c>
      <c r="Y5" s="30" t="s">
        <v>50</v>
      </c>
      <c r="Z5" s="30" t="s">
        <v>51</v>
      </c>
      <c r="AA5" s="30" t="s">
        <v>52</v>
      </c>
      <c r="AB5" s="30" t="s">
        <v>53</v>
      </c>
      <c r="AC5" s="30" t="s">
        <v>54</v>
      </c>
      <c r="AD5" s="30" t="s">
        <v>42</v>
      </c>
      <c r="AE5" s="30" t="s">
        <v>43</v>
      </c>
      <c r="AF5" s="30" t="s">
        <v>44</v>
      </c>
      <c r="AG5" s="30" t="s">
        <v>45</v>
      </c>
      <c r="AH5" s="30" t="s">
        <v>46</v>
      </c>
      <c r="AI5" s="30" t="s">
        <v>47</v>
      </c>
      <c r="AJ5" s="30" t="s">
        <v>48</v>
      </c>
      <c r="AK5" s="30" t="s">
        <v>49</v>
      </c>
      <c r="AL5" s="30" t="s">
        <v>50</v>
      </c>
      <c r="AM5" s="30" t="s">
        <v>51</v>
      </c>
      <c r="AN5" s="30" t="s">
        <v>52</v>
      </c>
      <c r="AO5" s="30" t="s">
        <v>53</v>
      </c>
      <c r="AP5" s="30" t="s">
        <v>54</v>
      </c>
      <c r="AQ5" s="30" t="s">
        <v>92</v>
      </c>
      <c r="AR5" s="30" t="s">
        <v>54</v>
      </c>
      <c r="AS5" s="31"/>
    </row>
    <row r="6" spans="1:45" ht="12" customHeight="1">
      <c r="A6" s="21">
        <v>1</v>
      </c>
      <c r="B6" s="7" t="s">
        <v>9</v>
      </c>
      <c r="C6" s="91">
        <v>3886.9</v>
      </c>
      <c r="D6" s="99"/>
      <c r="E6" s="99"/>
      <c r="F6" s="99">
        <f>14891.99</f>
        <v>14891.99</v>
      </c>
      <c r="G6" s="99"/>
      <c r="H6" s="99"/>
      <c r="I6" s="107">
        <f>42180.39+8934.81</f>
        <v>51115.2</v>
      </c>
      <c r="J6" s="99">
        <f>11930.2</f>
        <v>11930.2</v>
      </c>
      <c r="K6" s="99">
        <f>604.55+27852.58+3221</f>
        <v>31678.13</v>
      </c>
      <c r="L6" s="99">
        <f>30497.51+330095.21</f>
        <v>360592.72000000003</v>
      </c>
      <c r="M6" s="99">
        <f>53487.21+36400</f>
        <v>89887.20999999999</v>
      </c>
      <c r="N6" s="99"/>
      <c r="O6" s="99"/>
      <c r="P6" s="99">
        <f>SUM(D6:O6)</f>
        <v>560095.4500000001</v>
      </c>
      <c r="Q6" s="99">
        <f aca="true" t="shared" si="0" ref="Q6:Q18">C6*395084.84/117788.23</f>
        <v>13037.425425239859</v>
      </c>
      <c r="R6" s="99">
        <f aca="true" t="shared" si="1" ref="R6:R18">C6*394125.33/117783.21</f>
        <v>13006.316818645035</v>
      </c>
      <c r="S6" s="99">
        <f aca="true" t="shared" si="2" ref="S6:S18">C6*375496.07/117783.31</f>
        <v>12391.53216600043</v>
      </c>
      <c r="T6" s="99">
        <f aca="true" t="shared" si="3" ref="T6:T18">C6*393605.73/117782.81</f>
        <v>12989.213892392278</v>
      </c>
      <c r="U6" s="99">
        <f>C6*396218.88/117779.21</f>
        <v>13075.84899467402</v>
      </c>
      <c r="V6" s="99">
        <f aca="true" t="shared" si="4" ref="V6:V18">C6*398895.03/117778.91</f>
        <v>13164.199703554737</v>
      </c>
      <c r="W6" s="99">
        <f aca="true" t="shared" si="5" ref="W6:W18">C6*399138.1/117779.01</f>
        <v>13172.21023414953</v>
      </c>
      <c r="X6" s="99">
        <f aca="true" t="shared" si="6" ref="X6:X18">C6*399125.56/117775.31</f>
        <v>13172.210195532494</v>
      </c>
      <c r="Y6" s="99">
        <f aca="true" t="shared" si="7" ref="Y6:Y18">C6*387842.91/117767.21</f>
        <v>12800.732961908496</v>
      </c>
      <c r="Z6" s="99">
        <f>C6*399096.75/117766.81</f>
        <v>13172.210044366491</v>
      </c>
      <c r="AA6" s="106">
        <f>C6*384546.83/113473.37</f>
        <v>13172.210127600865</v>
      </c>
      <c r="AB6" s="106">
        <f aca="true" t="shared" si="8" ref="AB6:AB18">C6*384567.84/113479.57</f>
        <v>13172.210092935673</v>
      </c>
      <c r="AC6" s="99">
        <f>SUM(Q6:AB6)</f>
        <v>156326.32065699992</v>
      </c>
      <c r="AD6" s="99">
        <f>C6*16874.97/117788.23</f>
        <v>556.8580230214853</v>
      </c>
      <c r="AE6" s="106">
        <f>C6*34963.28/117783.21</f>
        <v>1153.8042903738146</v>
      </c>
      <c r="AF6" s="99">
        <f aca="true" t="shared" si="9" ref="AF6:AF18">C6*46264.68/117783.31</f>
        <v>1526.754382195576</v>
      </c>
      <c r="AG6" s="99">
        <f aca="true" t="shared" si="10" ref="AG6:AG18">C6*68733.89/117782.81</f>
        <v>2268.2576263972646</v>
      </c>
      <c r="AH6" s="99">
        <f>C6*36198.99/117779.21</f>
        <v>1194.6238579032752</v>
      </c>
      <c r="AI6" s="99">
        <f>C6*41351.61/117778.91</f>
        <v>1364.6719341264068</v>
      </c>
      <c r="AJ6" s="99">
        <f aca="true" t="shared" si="11" ref="AJ6:AJ18">C6*39712.38/117779.01</f>
        <v>1310.5735039036242</v>
      </c>
      <c r="AK6" s="99"/>
      <c r="AL6" s="99">
        <f aca="true" t="shared" si="12" ref="AL6:AL18">C6*36087.03/117767.21</f>
        <v>1191.05035185091</v>
      </c>
      <c r="AM6" s="99">
        <f aca="true" t="shared" si="13" ref="AM6:AM18">C6*83426.77/117766.81</f>
        <v>2753.505103118612</v>
      </c>
      <c r="AN6" s="99">
        <f aca="true" t="shared" si="14" ref="AN6:AN18">C6*73586.44/113473.37</f>
        <v>2520.6190107511575</v>
      </c>
      <c r="AO6" s="102">
        <f aca="true" t="shared" si="15" ref="AO6:AO18">C6*46198.99/113479.57</f>
        <v>1582.4068969507023</v>
      </c>
      <c r="AP6" s="99">
        <f>SUM(AD6:AO6)</f>
        <v>17423.124980592827</v>
      </c>
      <c r="AQ6" s="32"/>
      <c r="AR6" s="32"/>
      <c r="AS6" s="99">
        <f>P6+AC6+AP6+AQ6+AR6</f>
        <v>733844.8956375929</v>
      </c>
    </row>
    <row r="7" spans="1:45" ht="12" customHeight="1">
      <c r="A7" s="17">
        <v>2</v>
      </c>
      <c r="B7" s="9" t="s">
        <v>10</v>
      </c>
      <c r="C7" s="89">
        <v>3432.3</v>
      </c>
      <c r="D7" s="99"/>
      <c r="E7" s="99"/>
      <c r="F7" s="99">
        <f>15072.26</f>
        <v>15072.26</v>
      </c>
      <c r="G7" s="99"/>
      <c r="H7" s="99">
        <f>42180.39</f>
        <v>42180.39</v>
      </c>
      <c r="I7" s="267"/>
      <c r="J7" s="99"/>
      <c r="K7" s="99">
        <f>604.55+77266.58</f>
        <v>77871.13</v>
      </c>
      <c r="L7" s="99">
        <f>26859.26+120479.26</f>
        <v>147338.52</v>
      </c>
      <c r="M7" s="99">
        <f>6438.91+12500+51200</f>
        <v>70138.91</v>
      </c>
      <c r="N7" s="99"/>
      <c r="O7" s="99">
        <f>25968</f>
        <v>25968</v>
      </c>
      <c r="P7" s="99">
        <f aca="true" t="shared" si="16" ref="P7:P17">SUM(D7:O7)</f>
        <v>378569.20999999996</v>
      </c>
      <c r="Q7" s="99">
        <f t="shared" si="0"/>
        <v>11512.60780752033</v>
      </c>
      <c r="R7" s="99">
        <f t="shared" si="1"/>
        <v>11485.137568920052</v>
      </c>
      <c r="S7" s="99">
        <f t="shared" si="2"/>
        <v>10942.256259065907</v>
      </c>
      <c r="T7" s="99">
        <f t="shared" si="3"/>
        <v>11470.034948894496</v>
      </c>
      <c r="U7" s="99">
        <f aca="true" t="shared" si="17" ref="U7:U18">C7*396218.88/117779.21</f>
        <v>11546.537473158463</v>
      </c>
      <c r="V7" s="99">
        <f t="shared" si="4"/>
        <v>11624.55495189249</v>
      </c>
      <c r="W7" s="99">
        <f t="shared" si="5"/>
        <v>11631.628595197055</v>
      </c>
      <c r="X7" s="99">
        <f t="shared" si="6"/>
        <v>11631.62856109655</v>
      </c>
      <c r="Y7" s="99">
        <f t="shared" si="7"/>
        <v>11303.598174678673</v>
      </c>
      <c r="Z7" s="99">
        <f aca="true" t="shared" si="18" ref="Z7:Z18">C7*399096.75/117766.81</f>
        <v>11631.628427610463</v>
      </c>
      <c r="AA7" s="106">
        <f aca="true" t="shared" si="19" ref="AA7:AA17">C7*384546.83/113473.37</f>
        <v>11631.628501109999</v>
      </c>
      <c r="AB7" s="106">
        <f t="shared" si="8"/>
        <v>11631.62847049914</v>
      </c>
      <c r="AC7" s="99">
        <f aca="true" t="shared" si="20" ref="AC7:AC18">SUM(Q7:AB7)</f>
        <v>138042.86973964362</v>
      </c>
      <c r="AD7" s="99">
        <f aca="true" t="shared" si="21" ref="AD7:AD18">C7*16874.97/117788.23</f>
        <v>491.72960261819037</v>
      </c>
      <c r="AE7" s="106">
        <f aca="true" t="shared" si="22" ref="AE7:AE18">C7*34963.28/117783.21</f>
        <v>1018.8588504592462</v>
      </c>
      <c r="AF7" s="99">
        <f t="shared" si="9"/>
        <v>1348.1898340605303</v>
      </c>
      <c r="AG7" s="99">
        <f t="shared" si="10"/>
        <v>2002.969114482835</v>
      </c>
      <c r="AH7" s="99">
        <f aca="true" t="shared" si="23" ref="AH7:AH18">C7*36198.99/117779.21</f>
        <v>1054.9042855441126</v>
      </c>
      <c r="AI7" s="99">
        <f aca="true" t="shared" si="24" ref="AI7:AI18">C7*41351.61/117778.91</f>
        <v>1205.064056060631</v>
      </c>
      <c r="AJ7" s="99">
        <f t="shared" si="11"/>
        <v>1157.2928136685816</v>
      </c>
      <c r="AK7" s="99"/>
      <c r="AL7" s="99">
        <f t="shared" si="12"/>
        <v>1051.7487258889805</v>
      </c>
      <c r="AM7" s="99">
        <f t="shared" si="13"/>
        <v>2431.463522455945</v>
      </c>
      <c r="AN7" s="99">
        <f t="shared" si="14"/>
        <v>2225.815079009287</v>
      </c>
      <c r="AO7" s="102">
        <f t="shared" si="15"/>
        <v>1397.3333999855656</v>
      </c>
      <c r="AP7" s="99">
        <f aca="true" t="shared" si="25" ref="AP7:AP18">SUM(AD7:AO7)</f>
        <v>15385.369284233906</v>
      </c>
      <c r="AQ7" s="32"/>
      <c r="AR7" s="32"/>
      <c r="AS7" s="99">
        <f>P7+AC7+AP7+AQ7+AR7</f>
        <v>531997.4490238775</v>
      </c>
    </row>
    <row r="8" spans="1:45" ht="12" customHeight="1">
      <c r="A8" s="21">
        <v>3</v>
      </c>
      <c r="B8" s="9" t="s">
        <v>11</v>
      </c>
      <c r="C8" s="92">
        <v>3582.1</v>
      </c>
      <c r="D8" s="99"/>
      <c r="E8" s="99"/>
      <c r="F8" s="99"/>
      <c r="G8" s="99"/>
      <c r="H8" s="99">
        <f>42180.39</f>
        <v>42180.39</v>
      </c>
      <c r="I8" s="107"/>
      <c r="J8" s="99">
        <f>60122+30339+3389.26</f>
        <v>93850.26</v>
      </c>
      <c r="K8" s="99">
        <f>604.55+6273.31+24390+24969</f>
        <v>56236.86</v>
      </c>
      <c r="L8" s="99">
        <f>28034.7+405089</f>
        <v>433123.7</v>
      </c>
      <c r="M8" s="99">
        <f>17000</f>
        <v>17000</v>
      </c>
      <c r="N8" s="99"/>
      <c r="O8" s="99"/>
      <c r="P8" s="99">
        <f t="shared" si="16"/>
        <v>642391.21</v>
      </c>
      <c r="Q8" s="99">
        <f t="shared" si="0"/>
        <v>12015.066406584088</v>
      </c>
      <c r="R8" s="99">
        <f t="shared" si="1"/>
        <v>11986.39725129753</v>
      </c>
      <c r="S8" s="99">
        <f t="shared" si="2"/>
        <v>11419.822319028051</v>
      </c>
      <c r="T8" s="99">
        <f t="shared" si="3"/>
        <v>11970.635489448756</v>
      </c>
      <c r="U8" s="99">
        <f t="shared" si="17"/>
        <v>12050.476905457253</v>
      </c>
      <c r="V8" s="99">
        <f t="shared" si="4"/>
        <v>12131.899394917138</v>
      </c>
      <c r="W8" s="99">
        <f t="shared" si="5"/>
        <v>12139.281761750248</v>
      </c>
      <c r="X8" s="99">
        <f t="shared" si="6"/>
        <v>12139.281726161451</v>
      </c>
      <c r="Y8" s="99">
        <f t="shared" si="7"/>
        <v>11796.93471477332</v>
      </c>
      <c r="Z8" s="99">
        <f t="shared" si="18"/>
        <v>12139.281586849469</v>
      </c>
      <c r="AA8" s="106">
        <f t="shared" si="19"/>
        <v>12139.281663556834</v>
      </c>
      <c r="AB8" s="106">
        <f t="shared" si="8"/>
        <v>12139.281631609989</v>
      </c>
      <c r="AC8" s="99">
        <f t="shared" si="20"/>
        <v>144067.64085143412</v>
      </c>
      <c r="AD8" s="99">
        <f t="shared" si="21"/>
        <v>513.1907495086733</v>
      </c>
      <c r="AE8" s="106">
        <f t="shared" si="22"/>
        <v>1063.3261335635189</v>
      </c>
      <c r="AF8" s="99">
        <f t="shared" si="9"/>
        <v>1407.0305056633235</v>
      </c>
      <c r="AG8" s="99">
        <f t="shared" si="10"/>
        <v>2090.387106310335</v>
      </c>
      <c r="AH8" s="99">
        <f t="shared" si="23"/>
        <v>1100.9447429559086</v>
      </c>
      <c r="AI8" s="99">
        <f t="shared" si="24"/>
        <v>1257.658117068667</v>
      </c>
      <c r="AJ8" s="99">
        <f t="shared" si="11"/>
        <v>1207.8019368476607</v>
      </c>
      <c r="AK8" s="99"/>
      <c r="AL8" s="99">
        <f t="shared" si="12"/>
        <v>1097.651461412731</v>
      </c>
      <c r="AM8" s="99">
        <f t="shared" si="13"/>
        <v>2537.582811464453</v>
      </c>
      <c r="AN8" s="99">
        <f t="shared" si="14"/>
        <v>2322.9590054829605</v>
      </c>
      <c r="AO8" s="102">
        <f t="shared" si="15"/>
        <v>1458.318903384988</v>
      </c>
      <c r="AP8" s="99">
        <f t="shared" si="25"/>
        <v>16056.85147366322</v>
      </c>
      <c r="AQ8" s="32"/>
      <c r="AR8" s="32"/>
      <c r="AS8" s="99">
        <f aca="true" t="shared" si="26" ref="AS8:AS17">P8+AC8+AP8+AQ8+AR8</f>
        <v>802515.7023250973</v>
      </c>
    </row>
    <row r="9" spans="1:45" ht="12" customHeight="1">
      <c r="A9" s="17">
        <v>4</v>
      </c>
      <c r="B9" s="9" t="s">
        <v>12</v>
      </c>
      <c r="C9" s="89">
        <v>4289.94</v>
      </c>
      <c r="D9" s="101"/>
      <c r="E9" s="99"/>
      <c r="F9" s="99"/>
      <c r="G9" s="99"/>
      <c r="H9" s="99"/>
      <c r="I9" s="107">
        <f>42180.39</f>
        <v>42180.39</v>
      </c>
      <c r="J9" s="99">
        <f>24750+11930.2</f>
        <v>36680.2</v>
      </c>
      <c r="K9" s="99">
        <f>604.55+24390+32060+32060</f>
        <v>89114.55</v>
      </c>
      <c r="L9" s="113">
        <f>33579.66</f>
        <v>33579.66</v>
      </c>
      <c r="M9" s="99">
        <f>4500</f>
        <v>4500</v>
      </c>
      <c r="N9" s="99"/>
      <c r="O9" s="99"/>
      <c r="P9" s="99">
        <f t="shared" si="16"/>
        <v>206054.80000000002</v>
      </c>
      <c r="Q9" s="99">
        <f t="shared" si="0"/>
        <v>14389.300684029295</v>
      </c>
      <c r="R9" s="99">
        <f t="shared" si="1"/>
        <v>14354.966367279341</v>
      </c>
      <c r="S9" s="99">
        <f t="shared" si="2"/>
        <v>13676.433533204323</v>
      </c>
      <c r="T9" s="99">
        <f t="shared" si="3"/>
        <v>14336.090006310766</v>
      </c>
      <c r="U9" s="99">
        <f t="shared" si="17"/>
        <v>14431.70846592705</v>
      </c>
      <c r="V9" s="99">
        <f t="shared" si="4"/>
        <v>14529.22042662986</v>
      </c>
      <c r="W9" s="99">
        <f t="shared" si="5"/>
        <v>14538.061584267009</v>
      </c>
      <c r="X9" s="99">
        <f t="shared" si="6"/>
        <v>14538.061541645697</v>
      </c>
      <c r="Y9" s="99">
        <f t="shared" si="7"/>
        <v>14128.06513226729</v>
      </c>
      <c r="Z9" s="99">
        <f t="shared" si="18"/>
        <v>14538.061374805005</v>
      </c>
      <c r="AA9" s="106">
        <f t="shared" si="19"/>
        <v>14538.06146667011</v>
      </c>
      <c r="AB9" s="106">
        <f t="shared" si="8"/>
        <v>14538.061428410416</v>
      </c>
      <c r="AC9" s="99">
        <f t="shared" si="20"/>
        <v>172536.09201144616</v>
      </c>
      <c r="AD9" s="99">
        <f t="shared" si="21"/>
        <v>614.5996828528623</v>
      </c>
      <c r="AE9" s="106">
        <f t="shared" si="22"/>
        <v>1273.4444357833343</v>
      </c>
      <c r="AF9" s="99">
        <f t="shared" si="9"/>
        <v>1685.0664268069897</v>
      </c>
      <c r="AG9" s="99">
        <f t="shared" si="10"/>
        <v>2503.4575424597188</v>
      </c>
      <c r="AH9" s="99">
        <f t="shared" si="23"/>
        <v>1318.4966613428633</v>
      </c>
      <c r="AI9" s="99">
        <f t="shared" si="24"/>
        <v>1506.1773436636488</v>
      </c>
      <c r="AJ9" s="99">
        <f t="shared" si="11"/>
        <v>1446.4693450658142</v>
      </c>
      <c r="AK9" s="99"/>
      <c r="AL9" s="99">
        <f t="shared" si="12"/>
        <v>1314.552611700659</v>
      </c>
      <c r="AM9" s="99">
        <f t="shared" si="13"/>
        <v>3039.0212462560544</v>
      </c>
      <c r="AN9" s="99">
        <f t="shared" si="14"/>
        <v>2781.9867552501523</v>
      </c>
      <c r="AO9" s="102">
        <f t="shared" si="15"/>
        <v>1746.4896558966514</v>
      </c>
      <c r="AP9" s="99">
        <f t="shared" si="25"/>
        <v>19229.761707078746</v>
      </c>
      <c r="AQ9" s="32"/>
      <c r="AR9" s="32"/>
      <c r="AS9" s="99">
        <f>P9+AC9+AP9+AQ9+AR9</f>
        <v>397820.6537185249</v>
      </c>
    </row>
    <row r="10" spans="1:45" ht="12" customHeight="1">
      <c r="A10" s="21">
        <v>5</v>
      </c>
      <c r="B10" s="9" t="s">
        <v>13</v>
      </c>
      <c r="C10" s="89">
        <v>4295.7</v>
      </c>
      <c r="D10" s="99"/>
      <c r="E10" s="99"/>
      <c r="F10" s="99"/>
      <c r="G10" s="107"/>
      <c r="H10" s="99">
        <v>42180.39</v>
      </c>
      <c r="I10" s="107"/>
      <c r="J10" s="99"/>
      <c r="K10" s="99">
        <f>604.55+63129.82+21576</f>
        <v>85310.37</v>
      </c>
      <c r="L10" s="113">
        <f>33631</f>
        <v>33631</v>
      </c>
      <c r="M10" s="99">
        <f>33923.55</f>
        <v>33923.55</v>
      </c>
      <c r="N10" s="99"/>
      <c r="O10" s="99"/>
      <c r="P10" s="99">
        <f t="shared" si="16"/>
        <v>195045.31</v>
      </c>
      <c r="Q10" s="99">
        <f t="shared" si="0"/>
        <v>14408.620854460585</v>
      </c>
      <c r="R10" s="99">
        <f t="shared" si="1"/>
        <v>14374.240437843391</v>
      </c>
      <c r="S10" s="99">
        <f t="shared" si="2"/>
        <v>13694.79655393451</v>
      </c>
      <c r="T10" s="99">
        <f t="shared" si="3"/>
        <v>14355.338732035683</v>
      </c>
      <c r="U10" s="99">
        <f t="shared" si="17"/>
        <v>14451.085576274454</v>
      </c>
      <c r="V10" s="99">
        <f t="shared" si="4"/>
        <v>14548.728463958445</v>
      </c>
      <c r="W10" s="99">
        <f t="shared" si="5"/>
        <v>14557.581492406838</v>
      </c>
      <c r="X10" s="99">
        <f t="shared" si="6"/>
        <v>14557.5814497283</v>
      </c>
      <c r="Y10" s="99">
        <f t="shared" si="7"/>
        <v>14147.034547961182</v>
      </c>
      <c r="Z10" s="99">
        <f t="shared" si="18"/>
        <v>14557.581282663596</v>
      </c>
      <c r="AA10" s="106">
        <f t="shared" si="19"/>
        <v>14557.581374652045</v>
      </c>
      <c r="AB10" s="106">
        <f t="shared" si="8"/>
        <v>14557.581336340982</v>
      </c>
      <c r="AC10" s="99">
        <f t="shared" si="20"/>
        <v>172767.75210226</v>
      </c>
      <c r="AD10" s="99">
        <f t="shared" si="21"/>
        <v>615.4248911712148</v>
      </c>
      <c r="AE10" s="106">
        <f t="shared" si="22"/>
        <v>1275.1542592191195</v>
      </c>
      <c r="AF10" s="99">
        <f t="shared" si="9"/>
        <v>1687.3289252611426</v>
      </c>
      <c r="AG10" s="99">
        <f t="shared" si="10"/>
        <v>2506.818875122779</v>
      </c>
      <c r="AH10" s="99">
        <f t="shared" si="23"/>
        <v>1320.2669753261207</v>
      </c>
      <c r="AI10" s="99">
        <f t="shared" si="24"/>
        <v>1508.199652017496</v>
      </c>
      <c r="AJ10" s="99">
        <f t="shared" si="11"/>
        <v>1448.4114849156906</v>
      </c>
      <c r="AK10" s="99"/>
      <c r="AL10" s="99">
        <f t="shared" si="12"/>
        <v>1316.3176301026406</v>
      </c>
      <c r="AM10" s="99">
        <f t="shared" si="13"/>
        <v>3043.1016675156607</v>
      </c>
      <c r="AN10" s="99">
        <f t="shared" si="14"/>
        <v>2785.722062436323</v>
      </c>
      <c r="AO10" s="102">
        <f t="shared" si="15"/>
        <v>1748.8346258537988</v>
      </c>
      <c r="AP10" s="99">
        <f t="shared" si="25"/>
        <v>19255.581048941986</v>
      </c>
      <c r="AQ10" s="32"/>
      <c r="AR10" s="32"/>
      <c r="AS10" s="99">
        <f>P10+AC10+AP10+AQ10+AR10</f>
        <v>387068.643151202</v>
      </c>
    </row>
    <row r="11" spans="1:45" ht="12" customHeight="1">
      <c r="A11" s="17">
        <v>6</v>
      </c>
      <c r="B11" s="9" t="s">
        <v>14</v>
      </c>
      <c r="C11" s="89">
        <v>2673.7</v>
      </c>
      <c r="D11" s="99">
        <v>4247.68</v>
      </c>
      <c r="E11" s="99"/>
      <c r="F11" s="99"/>
      <c r="G11" s="108"/>
      <c r="H11" s="99"/>
      <c r="I11" s="107">
        <f>42180.39</f>
        <v>42180.39</v>
      </c>
      <c r="J11" s="99">
        <f>3389.26</f>
        <v>3389.26</v>
      </c>
      <c r="K11" s="99">
        <f>604.55</f>
        <v>604.55</v>
      </c>
      <c r="L11" s="99">
        <f>20964.01+480064.54</f>
        <v>501028.55</v>
      </c>
      <c r="M11" s="99"/>
      <c r="N11" s="99"/>
      <c r="O11" s="99"/>
      <c r="P11" s="99">
        <f t="shared" si="16"/>
        <v>551450.4299999999</v>
      </c>
      <c r="Q11" s="99">
        <f t="shared" si="0"/>
        <v>8968.114528149374</v>
      </c>
      <c r="R11" s="99">
        <f t="shared" si="1"/>
        <v>8946.715706092575</v>
      </c>
      <c r="S11" s="99">
        <f t="shared" si="2"/>
        <v>8523.820924704867</v>
      </c>
      <c r="T11" s="99">
        <f t="shared" si="3"/>
        <v>8934.951036581653</v>
      </c>
      <c r="U11" s="99">
        <f t="shared" si="17"/>
        <v>8994.545127752172</v>
      </c>
      <c r="V11" s="99">
        <f t="shared" si="4"/>
        <v>9055.319341221615</v>
      </c>
      <c r="W11" s="99">
        <f t="shared" si="5"/>
        <v>9060.82958219805</v>
      </c>
      <c r="X11" s="99">
        <f t="shared" si="6"/>
        <v>9060.82955563437</v>
      </c>
      <c r="Y11" s="99">
        <f t="shared" si="7"/>
        <v>8805.29978138227</v>
      </c>
      <c r="Z11" s="99">
        <f t="shared" si="18"/>
        <v>9060.829451651105</v>
      </c>
      <c r="AA11" s="106">
        <f t="shared" si="19"/>
        <v>9060.829508905921</v>
      </c>
      <c r="AB11" s="106">
        <f t="shared" si="8"/>
        <v>9060.829485060614</v>
      </c>
      <c r="AC11" s="99">
        <f t="shared" si="20"/>
        <v>107532.9140293346</v>
      </c>
      <c r="AD11" s="99">
        <f t="shared" si="21"/>
        <v>383.0485209685212</v>
      </c>
      <c r="AE11" s="106">
        <f t="shared" si="22"/>
        <v>793.6727292115743</v>
      </c>
      <c r="AF11" s="99">
        <f t="shared" si="9"/>
        <v>1050.2156452896425</v>
      </c>
      <c r="AG11" s="99">
        <f t="shared" si="10"/>
        <v>1560.2769342402341</v>
      </c>
      <c r="AH11" s="99">
        <f t="shared" si="23"/>
        <v>821.7514751797027</v>
      </c>
      <c r="AI11" s="99">
        <f t="shared" si="24"/>
        <v>938.7232370973716</v>
      </c>
      <c r="AJ11" s="99">
        <f t="shared" si="11"/>
        <v>901.5102980233913</v>
      </c>
      <c r="AK11" s="99"/>
      <c r="AL11" s="99">
        <f t="shared" si="12"/>
        <v>819.2933509335917</v>
      </c>
      <c r="AM11" s="99">
        <f t="shared" si="13"/>
        <v>1894.0663753140634</v>
      </c>
      <c r="AN11" s="99">
        <f t="shared" si="14"/>
        <v>1733.8699346639658</v>
      </c>
      <c r="AO11" s="102">
        <f t="shared" si="15"/>
        <v>1088.497599726541</v>
      </c>
      <c r="AP11" s="99">
        <f t="shared" si="25"/>
        <v>11984.9261006486</v>
      </c>
      <c r="AQ11" s="32"/>
      <c r="AR11" s="32"/>
      <c r="AS11" s="99">
        <f t="shared" si="26"/>
        <v>670968.2701299831</v>
      </c>
    </row>
    <row r="12" spans="1:45" ht="12" customHeight="1">
      <c r="A12" s="21">
        <v>7</v>
      </c>
      <c r="B12" s="9" t="s">
        <v>15</v>
      </c>
      <c r="C12" s="89">
        <v>4279.8</v>
      </c>
      <c r="D12" s="99"/>
      <c r="E12" s="99"/>
      <c r="F12" s="99"/>
      <c r="G12" s="99"/>
      <c r="H12" s="99">
        <f>50066.21</f>
        <v>50066.21</v>
      </c>
      <c r="I12" s="107">
        <f>42180.39</f>
        <v>42180.39</v>
      </c>
      <c r="J12" s="99"/>
      <c r="K12" s="99">
        <f>604.55+13926.29</f>
        <v>14530.84</v>
      </c>
      <c r="L12" s="99">
        <f>33472.14</f>
        <v>33472.14</v>
      </c>
      <c r="M12" s="99">
        <f>30300+9250</f>
        <v>39550</v>
      </c>
      <c r="N12" s="99"/>
      <c r="O12" s="99"/>
      <c r="P12" s="99">
        <f t="shared" si="16"/>
        <v>179799.58000000002</v>
      </c>
      <c r="Q12" s="99">
        <f t="shared" si="0"/>
        <v>14355.289133999213</v>
      </c>
      <c r="R12" s="99">
        <f t="shared" si="1"/>
        <v>14321.035972223885</v>
      </c>
      <c r="S12" s="99">
        <f t="shared" si="2"/>
        <v>13644.106965460558</v>
      </c>
      <c r="T12" s="99">
        <f t="shared" si="3"/>
        <v>14302.20422873253</v>
      </c>
      <c r="U12" s="99">
        <f t="shared" si="17"/>
        <v>14397.596677919642</v>
      </c>
      <c r="V12" s="99">
        <f t="shared" si="4"/>
        <v>14494.878152582667</v>
      </c>
      <c r="W12" s="99">
        <f t="shared" si="5"/>
        <v>14503.698412645852</v>
      </c>
      <c r="X12" s="99">
        <f t="shared" si="6"/>
        <v>14503.698370125283</v>
      </c>
      <c r="Y12" s="99">
        <f t="shared" si="7"/>
        <v>14094.671056722833</v>
      </c>
      <c r="Z12" s="99">
        <f t="shared" si="18"/>
        <v>14503.698203678949</v>
      </c>
      <c r="AA12" s="106">
        <f t="shared" si="19"/>
        <v>14503.698295326914</v>
      </c>
      <c r="AB12" s="106">
        <f t="shared" si="8"/>
        <v>14503.698257157655</v>
      </c>
      <c r="AC12" s="99">
        <f t="shared" si="20"/>
        <v>172128.27372657598</v>
      </c>
      <c r="AD12" s="99">
        <f t="shared" si="21"/>
        <v>613.146972375763</v>
      </c>
      <c r="AE12" s="106">
        <f t="shared" si="22"/>
        <v>1270.4344341099209</v>
      </c>
      <c r="AF12" s="99">
        <f t="shared" si="9"/>
        <v>1681.083486819992</v>
      </c>
      <c r="AG12" s="99">
        <f t="shared" si="10"/>
        <v>2497.5401964174566</v>
      </c>
      <c r="AH12" s="99">
        <f t="shared" si="23"/>
        <v>1315.3801711015042</v>
      </c>
      <c r="AI12" s="99">
        <f t="shared" si="24"/>
        <v>1502.6172383323976</v>
      </c>
      <c r="AJ12" s="99">
        <f t="shared" si="11"/>
        <v>1443.0503697050942</v>
      </c>
      <c r="AK12" s="99"/>
      <c r="AL12" s="99">
        <f t="shared" si="12"/>
        <v>1311.4454438888379</v>
      </c>
      <c r="AM12" s="99">
        <f t="shared" si="13"/>
        <v>3031.8380046636235</v>
      </c>
      <c r="AN12" s="99">
        <f t="shared" si="14"/>
        <v>2775.411058224498</v>
      </c>
      <c r="AO12" s="102">
        <f t="shared" si="15"/>
        <v>1742.3615317012568</v>
      </c>
      <c r="AP12" s="99">
        <f t="shared" si="25"/>
        <v>19184.308907340343</v>
      </c>
      <c r="AQ12" s="32"/>
      <c r="AR12" s="32"/>
      <c r="AS12" s="99">
        <f t="shared" si="26"/>
        <v>371112.1626339163</v>
      </c>
    </row>
    <row r="13" spans="1:45" ht="12" customHeight="1">
      <c r="A13" s="17">
        <v>8</v>
      </c>
      <c r="B13" s="9" t="s">
        <v>16</v>
      </c>
      <c r="C13" s="89">
        <v>5057.4</v>
      </c>
      <c r="D13" s="99"/>
      <c r="E13" s="99"/>
      <c r="F13" s="99">
        <v>28096.36</v>
      </c>
      <c r="G13" s="99"/>
      <c r="H13" s="99">
        <f>42180.39</f>
        <v>42180.39</v>
      </c>
      <c r="I13" s="107"/>
      <c r="J13" s="99"/>
      <c r="K13" s="99">
        <f>604.55+148137.17</f>
        <v>148741.72</v>
      </c>
      <c r="L13" s="99">
        <f>39624.86+375456.41</f>
        <v>415081.26999999996</v>
      </c>
      <c r="M13" s="99">
        <f>10000</f>
        <v>10000</v>
      </c>
      <c r="N13" s="99"/>
      <c r="O13" s="99"/>
      <c r="P13" s="99">
        <f t="shared" si="16"/>
        <v>644099.74</v>
      </c>
      <c r="Q13" s="99">
        <f t="shared" si="0"/>
        <v>16963.51214222338</v>
      </c>
      <c r="R13" s="99">
        <f t="shared" si="1"/>
        <v>16923.035498370267</v>
      </c>
      <c r="S13" s="99">
        <f t="shared" si="2"/>
        <v>16123.114764035754</v>
      </c>
      <c r="T13" s="99">
        <f t="shared" si="3"/>
        <v>16900.78220159631</v>
      </c>
      <c r="U13" s="99">
        <f t="shared" si="17"/>
        <v>17013.5065748191</v>
      </c>
      <c r="V13" s="99">
        <f t="shared" si="4"/>
        <v>17128.463191941577</v>
      </c>
      <c r="W13" s="99">
        <f t="shared" si="5"/>
        <v>17138.886011522765</v>
      </c>
      <c r="X13" s="99">
        <f t="shared" si="6"/>
        <v>17138.885961276603</v>
      </c>
      <c r="Y13" s="99">
        <f t="shared" si="7"/>
        <v>16655.542175398394</v>
      </c>
      <c r="Z13" s="99">
        <f t="shared" si="18"/>
        <v>17138.88576458851</v>
      </c>
      <c r="AA13" s="106">
        <f t="shared" si="19"/>
        <v>17138.885872888062</v>
      </c>
      <c r="AB13" s="106">
        <f t="shared" si="8"/>
        <v>17138.8858277838</v>
      </c>
      <c r="AC13" s="99">
        <f t="shared" si="20"/>
        <v>203402.38598644448</v>
      </c>
      <c r="AD13" s="99">
        <f t="shared" si="21"/>
        <v>724.5500953533303</v>
      </c>
      <c r="AE13" s="106">
        <f t="shared" si="22"/>
        <v>1501.2605979409118</v>
      </c>
      <c r="AF13" s="99">
        <f t="shared" si="9"/>
        <v>1986.5207781306196</v>
      </c>
      <c r="AG13" s="99">
        <f t="shared" si="10"/>
        <v>2951.320105930568</v>
      </c>
      <c r="AH13" s="99">
        <f t="shared" si="23"/>
        <v>1554.3725588412417</v>
      </c>
      <c r="AI13" s="99">
        <f t="shared" si="24"/>
        <v>1775.6288661017493</v>
      </c>
      <c r="AJ13" s="99">
        <f t="shared" si="11"/>
        <v>1705.2392494384183</v>
      </c>
      <c r="AK13" s="99"/>
      <c r="AL13" s="99">
        <f t="shared" si="12"/>
        <v>1549.7229281563177</v>
      </c>
      <c r="AM13" s="99">
        <f t="shared" si="13"/>
        <v>3582.694874710455</v>
      </c>
      <c r="AN13" s="99">
        <f t="shared" si="14"/>
        <v>3279.6775283575344</v>
      </c>
      <c r="AO13" s="102">
        <f t="shared" si="15"/>
        <v>2058.932475916149</v>
      </c>
      <c r="AP13" s="99">
        <f t="shared" si="25"/>
        <v>22669.920058877295</v>
      </c>
      <c r="AQ13" s="32"/>
      <c r="AR13" s="32"/>
      <c r="AS13" s="99">
        <f t="shared" si="26"/>
        <v>870172.0460453219</v>
      </c>
    </row>
    <row r="14" spans="1:45" ht="12" customHeight="1">
      <c r="A14" s="21">
        <v>9</v>
      </c>
      <c r="B14" s="9" t="s">
        <v>17</v>
      </c>
      <c r="C14" s="89">
        <v>4276.6</v>
      </c>
      <c r="D14" s="99"/>
      <c r="E14" s="99"/>
      <c r="F14" s="99">
        <f>27072.26</f>
        <v>27072.26</v>
      </c>
      <c r="G14" s="99">
        <f>8000</f>
        <v>8000</v>
      </c>
      <c r="H14" s="109"/>
      <c r="I14" s="107">
        <f>42180.39</f>
        <v>42180.39</v>
      </c>
      <c r="J14" s="99"/>
      <c r="K14" s="99">
        <f>604.55</f>
        <v>604.55</v>
      </c>
      <c r="L14" s="99">
        <f>33469.01</f>
        <v>33469.01</v>
      </c>
      <c r="M14" s="99">
        <f>14400</f>
        <v>14400</v>
      </c>
      <c r="N14" s="99"/>
      <c r="O14" s="99"/>
      <c r="P14" s="99">
        <f t="shared" si="16"/>
        <v>125726.20999999999</v>
      </c>
      <c r="Q14" s="99">
        <f t="shared" si="0"/>
        <v>14344.555705981831</v>
      </c>
      <c r="R14" s="99">
        <f t="shared" si="1"/>
        <v>14310.328155243858</v>
      </c>
      <c r="S14" s="99">
        <f t="shared" si="2"/>
        <v>13633.90528727712</v>
      </c>
      <c r="T14" s="99">
        <f t="shared" si="3"/>
        <v>14291.510492218686</v>
      </c>
      <c r="U14" s="99">
        <f t="shared" si="17"/>
        <v>14386.831616615531</v>
      </c>
      <c r="V14" s="99">
        <f t="shared" si="4"/>
        <v>14484.040354066787</v>
      </c>
      <c r="W14" s="99">
        <f t="shared" si="5"/>
        <v>14492.854019234837</v>
      </c>
      <c r="X14" s="99">
        <f t="shared" si="6"/>
        <v>14492.85397674606</v>
      </c>
      <c r="Y14" s="99">
        <f t="shared" si="7"/>
        <v>14084.13249244845</v>
      </c>
      <c r="Z14" s="99">
        <f t="shared" si="18"/>
        <v>14492.853810424178</v>
      </c>
      <c r="AA14" s="106">
        <f t="shared" si="19"/>
        <v>14492.853902003619</v>
      </c>
      <c r="AB14" s="106">
        <f t="shared" si="8"/>
        <v>14492.853863862896</v>
      </c>
      <c r="AC14" s="99">
        <f t="shared" si="20"/>
        <v>171999.57367612384</v>
      </c>
      <c r="AD14" s="99">
        <f t="shared" si="21"/>
        <v>612.6885233100116</v>
      </c>
      <c r="AE14" s="106">
        <f t="shared" si="22"/>
        <v>1269.4845322011515</v>
      </c>
      <c r="AF14" s="99">
        <f t="shared" si="9"/>
        <v>1679.8265432343514</v>
      </c>
      <c r="AG14" s="99">
        <f t="shared" si="10"/>
        <v>2495.6727893824236</v>
      </c>
      <c r="AH14" s="99">
        <f t="shared" si="23"/>
        <v>1314.3966633330278</v>
      </c>
      <c r="AI14" s="99">
        <f t="shared" si="24"/>
        <v>1501.4937336913713</v>
      </c>
      <c r="AJ14" s="99">
        <f t="shared" si="11"/>
        <v>1441.9714031218296</v>
      </c>
      <c r="AK14" s="99"/>
      <c r="AL14" s="99">
        <f t="shared" si="12"/>
        <v>1310.4648781099593</v>
      </c>
      <c r="AM14" s="99">
        <f t="shared" si="13"/>
        <v>3029.5711039638427</v>
      </c>
      <c r="AN14" s="99">
        <f t="shared" si="14"/>
        <v>2773.3358875655144</v>
      </c>
      <c r="AO14" s="102">
        <f t="shared" si="15"/>
        <v>1741.0587706139527</v>
      </c>
      <c r="AP14" s="99">
        <f t="shared" si="25"/>
        <v>19169.964828527434</v>
      </c>
      <c r="AQ14" s="32"/>
      <c r="AR14" s="32"/>
      <c r="AS14" s="99">
        <f t="shared" si="26"/>
        <v>316895.74850465124</v>
      </c>
    </row>
    <row r="15" spans="1:45" ht="12" customHeight="1">
      <c r="A15" s="17">
        <v>10</v>
      </c>
      <c r="B15" s="9" t="s">
        <v>18</v>
      </c>
      <c r="C15" s="89">
        <v>5098.46</v>
      </c>
      <c r="D15" s="99"/>
      <c r="E15" s="99"/>
      <c r="F15" s="99">
        <f>32096.36+17857.36</f>
        <v>49953.72</v>
      </c>
      <c r="G15" s="99">
        <f>3349.39</f>
        <v>3349.39</v>
      </c>
      <c r="H15" s="102"/>
      <c r="I15" s="107">
        <f>42180.39</f>
        <v>42180.39</v>
      </c>
      <c r="J15" s="99">
        <f>985972.57+26150+18991.15</f>
        <v>1031113.72</v>
      </c>
      <c r="K15" s="99">
        <f>604.55+11175.89</f>
        <v>11780.439999999999</v>
      </c>
      <c r="L15" s="99">
        <f>32500+9170.76+33534.59</f>
        <v>75205.35</v>
      </c>
      <c r="M15" s="99">
        <f>18138.04</f>
        <v>18138.04</v>
      </c>
      <c r="N15" s="99"/>
      <c r="O15" s="99"/>
      <c r="P15" s="99">
        <f t="shared" si="16"/>
        <v>1231721.05</v>
      </c>
      <c r="Q15" s="99">
        <f t="shared" si="0"/>
        <v>17101.23544047143</v>
      </c>
      <c r="R15" s="99">
        <f t="shared" si="1"/>
        <v>17060.430174995232</v>
      </c>
      <c r="S15" s="99">
        <f t="shared" si="2"/>
        <v>16254.015047226982</v>
      </c>
      <c r="T15" s="99">
        <f t="shared" si="3"/>
        <v>17037.996208239554</v>
      </c>
      <c r="U15" s="99">
        <f t="shared" si="17"/>
        <v>17151.635767677504</v>
      </c>
      <c r="V15" s="99">
        <f t="shared" si="4"/>
        <v>17267.52569414847</v>
      </c>
      <c r="W15" s="99">
        <f t="shared" si="5"/>
        <v>17278.033134477868</v>
      </c>
      <c r="X15" s="99">
        <f t="shared" si="6"/>
        <v>17278.033083823764</v>
      </c>
      <c r="Y15" s="99">
        <f t="shared" si="7"/>
        <v>16790.7651282441</v>
      </c>
      <c r="Z15" s="99">
        <f t="shared" si="18"/>
        <v>17278.032885538803</v>
      </c>
      <c r="AA15" s="106">
        <f t="shared" si="19"/>
        <v>17278.032994717618</v>
      </c>
      <c r="AB15" s="106">
        <f t="shared" si="8"/>
        <v>17278.032949247165</v>
      </c>
      <c r="AC15" s="99">
        <f t="shared" si="20"/>
        <v>205053.76850880848</v>
      </c>
      <c r="AD15" s="99">
        <f t="shared" si="21"/>
        <v>730.4325699282518</v>
      </c>
      <c r="AE15" s="106">
        <f t="shared" si="22"/>
        <v>1513.4490268078105</v>
      </c>
      <c r="AF15" s="99">
        <f t="shared" si="9"/>
        <v>2002.6489355138688</v>
      </c>
      <c r="AG15" s="99">
        <f t="shared" si="10"/>
        <v>2975.281272448841</v>
      </c>
      <c r="AH15" s="99">
        <f t="shared" si="23"/>
        <v>1566.9921928955032</v>
      </c>
      <c r="AI15" s="99">
        <f t="shared" si="24"/>
        <v>1790.044835026916</v>
      </c>
      <c r="AJ15" s="99">
        <f t="shared" si="11"/>
        <v>1719.083739409934</v>
      </c>
      <c r="AK15" s="99"/>
      <c r="AL15" s="99">
        <f t="shared" si="12"/>
        <v>1562.3048128065527</v>
      </c>
      <c r="AM15" s="99">
        <f t="shared" si="13"/>
        <v>3611.7820443145233</v>
      </c>
      <c r="AN15" s="99">
        <f t="shared" si="14"/>
        <v>3306.3045618756196</v>
      </c>
      <c r="AO15" s="102">
        <f t="shared" si="15"/>
        <v>2075.6485291176195</v>
      </c>
      <c r="AP15" s="99">
        <f t="shared" si="25"/>
        <v>22853.972520145442</v>
      </c>
      <c r="AQ15" s="32"/>
      <c r="AR15" s="32"/>
      <c r="AS15" s="99">
        <f t="shared" si="26"/>
        <v>1459628.7910289539</v>
      </c>
    </row>
    <row r="16" spans="1:45" ht="12" customHeight="1">
      <c r="A16" s="21">
        <v>11</v>
      </c>
      <c r="B16" s="9" t="s">
        <v>19</v>
      </c>
      <c r="C16" s="89">
        <v>3366.3</v>
      </c>
      <c r="D16" s="102"/>
      <c r="E16" s="99"/>
      <c r="F16" s="99"/>
      <c r="G16" s="99"/>
      <c r="H16" s="110"/>
      <c r="I16" s="107">
        <f>42180.39</f>
        <v>42180.39</v>
      </c>
      <c r="J16" s="99"/>
      <c r="K16" s="99">
        <f>604.55+21576+24969+24969</f>
        <v>72118.55</v>
      </c>
      <c r="L16" s="99">
        <f>26368.57</f>
        <v>26368.57</v>
      </c>
      <c r="M16" s="99">
        <f>3496.43</f>
        <v>3496.43</v>
      </c>
      <c r="N16" s="99"/>
      <c r="O16" s="99"/>
      <c r="P16" s="99">
        <f t="shared" si="16"/>
        <v>144163.94</v>
      </c>
      <c r="Q16" s="99">
        <f t="shared" si="0"/>
        <v>11291.230854661797</v>
      </c>
      <c r="R16" s="99">
        <f t="shared" si="1"/>
        <v>11264.288843707012</v>
      </c>
      <c r="S16" s="99">
        <f t="shared" si="2"/>
        <v>10731.846646532518</v>
      </c>
      <c r="T16" s="99">
        <f t="shared" si="3"/>
        <v>11249.476633296488</v>
      </c>
      <c r="U16" s="99">
        <f t="shared" si="17"/>
        <v>11324.508083761133</v>
      </c>
      <c r="V16" s="99">
        <f t="shared" si="4"/>
        <v>11401.02535750246</v>
      </c>
      <c r="W16" s="99">
        <f t="shared" si="5"/>
        <v>11407.962981094848</v>
      </c>
      <c r="X16" s="99">
        <f t="shared" si="6"/>
        <v>11407.962947650063</v>
      </c>
      <c r="Y16" s="99">
        <f t="shared" si="7"/>
        <v>11086.240286519482</v>
      </c>
      <c r="Z16" s="99">
        <f t="shared" si="18"/>
        <v>11407.962816730793</v>
      </c>
      <c r="AA16" s="106">
        <f t="shared" si="19"/>
        <v>11407.962888817</v>
      </c>
      <c r="AB16" s="106">
        <f t="shared" si="8"/>
        <v>11407.962858794759</v>
      </c>
      <c r="AC16" s="99">
        <f t="shared" si="20"/>
        <v>135388.43119906835</v>
      </c>
      <c r="AD16" s="99">
        <f t="shared" si="21"/>
        <v>482.27409063706966</v>
      </c>
      <c r="AE16" s="106">
        <f t="shared" si="22"/>
        <v>999.2671235908751</v>
      </c>
      <c r="AF16" s="99">
        <f t="shared" si="9"/>
        <v>1322.2653726066962</v>
      </c>
      <c r="AG16" s="99">
        <f t="shared" si="10"/>
        <v>1964.4538443852716</v>
      </c>
      <c r="AH16" s="99">
        <f t="shared" si="23"/>
        <v>1034.619437819289</v>
      </c>
      <c r="AI16" s="99">
        <f t="shared" si="24"/>
        <v>1181.8917728394667</v>
      </c>
      <c r="AJ16" s="99">
        <f t="shared" si="11"/>
        <v>1135.0391278887469</v>
      </c>
      <c r="AK16" s="99"/>
      <c r="AL16" s="99">
        <f t="shared" si="12"/>
        <v>1031.524556699611</v>
      </c>
      <c r="AM16" s="99">
        <f t="shared" si="13"/>
        <v>2384.708695522958</v>
      </c>
      <c r="AN16" s="99">
        <f t="shared" si="14"/>
        <v>2183.0146841677483</v>
      </c>
      <c r="AO16" s="102">
        <f t="shared" si="15"/>
        <v>1370.4639525599189</v>
      </c>
      <c r="AP16" s="99">
        <f t="shared" si="25"/>
        <v>15089.522658717651</v>
      </c>
      <c r="AQ16" s="32"/>
      <c r="AR16" s="32"/>
      <c r="AS16" s="99">
        <f t="shared" si="26"/>
        <v>294641.893857786</v>
      </c>
    </row>
    <row r="17" spans="1:45" ht="12" customHeight="1">
      <c r="A17" s="17">
        <v>12</v>
      </c>
      <c r="B17" s="9" t="s">
        <v>20</v>
      </c>
      <c r="C17" s="89">
        <v>4313.6</v>
      </c>
      <c r="D17" s="99"/>
      <c r="E17" s="99"/>
      <c r="F17" s="99">
        <f>23072.26</f>
        <v>23072.26</v>
      </c>
      <c r="G17" s="99"/>
      <c r="H17" s="110"/>
      <c r="I17" s="107">
        <f>42180.39</f>
        <v>42180.39</v>
      </c>
      <c r="J17" s="99">
        <f>116124+278712.03</f>
        <v>394836.03</v>
      </c>
      <c r="K17" s="99">
        <f>604.55+7298.97</f>
        <v>7903.52</v>
      </c>
      <c r="L17" s="99">
        <f>33761.7</f>
        <v>33761.7</v>
      </c>
      <c r="M17" s="99">
        <f>10000</f>
        <v>10000</v>
      </c>
      <c r="N17" s="99"/>
      <c r="O17" s="99"/>
      <c r="P17" s="99">
        <f t="shared" si="16"/>
        <v>511753.9000000001</v>
      </c>
      <c r="Q17" s="99">
        <f t="shared" si="0"/>
        <v>14468.660967432828</v>
      </c>
      <c r="R17" s="99">
        <f t="shared" si="1"/>
        <v>14434.137289075414</v>
      </c>
      <c r="S17" s="99">
        <f t="shared" si="2"/>
        <v>13751.862191273112</v>
      </c>
      <c r="T17" s="99">
        <f t="shared" si="3"/>
        <v>14415.156820659993</v>
      </c>
      <c r="U17" s="99">
        <f t="shared" si="17"/>
        <v>14511.302637944336</v>
      </c>
      <c r="V17" s="99">
        <f t="shared" si="4"/>
        <v>14609.352399406653</v>
      </c>
      <c r="W17" s="99">
        <f t="shared" si="5"/>
        <v>14618.242318049712</v>
      </c>
      <c r="X17" s="99">
        <f t="shared" si="6"/>
        <v>14618.242275193334</v>
      </c>
      <c r="Y17" s="99">
        <f t="shared" si="7"/>
        <v>14205.984641871026</v>
      </c>
      <c r="Z17" s="99">
        <f t="shared" si="18"/>
        <v>14618.242107432477</v>
      </c>
      <c r="AA17" s="106">
        <f t="shared" si="19"/>
        <v>14618.24219980424</v>
      </c>
      <c r="AB17" s="106">
        <f t="shared" si="8"/>
        <v>14618.242161333535</v>
      </c>
      <c r="AC17" s="99">
        <f t="shared" si="20"/>
        <v>173487.66800947662</v>
      </c>
      <c r="AD17" s="99">
        <f t="shared" si="21"/>
        <v>617.9893406327611</v>
      </c>
      <c r="AE17" s="106">
        <f t="shared" si="22"/>
        <v>1280.467773021299</v>
      </c>
      <c r="AF17" s="99">
        <f t="shared" si="9"/>
        <v>1694.3599534433192</v>
      </c>
      <c r="AG17" s="99">
        <f t="shared" si="10"/>
        <v>2517.2646832249975</v>
      </c>
      <c r="AH17" s="99">
        <f t="shared" si="23"/>
        <v>1325.7684719060348</v>
      </c>
      <c r="AI17" s="99">
        <f t="shared" si="24"/>
        <v>1514.4842561032362</v>
      </c>
      <c r="AJ17" s="99">
        <f t="shared" si="11"/>
        <v>1454.4469542408278</v>
      </c>
      <c r="AK17" s="99"/>
      <c r="AL17" s="99">
        <f t="shared" si="12"/>
        <v>1321.8026699282423</v>
      </c>
      <c r="AM17" s="99">
        <f t="shared" si="13"/>
        <v>3055.782143305062</v>
      </c>
      <c r="AN17" s="99">
        <f t="shared" si="14"/>
        <v>2797.330048310014</v>
      </c>
      <c r="AO17" s="102">
        <f t="shared" si="15"/>
        <v>1756.1219456859062</v>
      </c>
      <c r="AP17" s="99">
        <f t="shared" si="25"/>
        <v>19335.8182398017</v>
      </c>
      <c r="AQ17" s="32"/>
      <c r="AR17" s="32"/>
      <c r="AS17" s="99">
        <f t="shared" si="26"/>
        <v>704577.3862492783</v>
      </c>
    </row>
    <row r="18" spans="1:45" ht="12" customHeight="1">
      <c r="A18" s="17">
        <v>13</v>
      </c>
      <c r="B18" s="9" t="s">
        <v>95</v>
      </c>
      <c r="C18" s="89">
        <v>1559.9</v>
      </c>
      <c r="D18" s="99"/>
      <c r="E18" s="99"/>
      <c r="F18" s="99"/>
      <c r="G18" s="99"/>
      <c r="H18" s="110"/>
      <c r="I18" s="111">
        <f>29786.54</f>
        <v>29786.54</v>
      </c>
      <c r="J18" s="99">
        <f>7060.95</f>
        <v>7060.95</v>
      </c>
      <c r="K18" s="99">
        <f>604.55+7298.97+24969+24969</f>
        <v>57841.520000000004</v>
      </c>
      <c r="L18" s="99">
        <f>12265.76</f>
        <v>12265.76</v>
      </c>
      <c r="M18" s="99"/>
      <c r="N18" s="99"/>
      <c r="O18" s="99"/>
      <c r="P18" s="99">
        <f>SUM(D18:O18)</f>
        <v>106954.77</v>
      </c>
      <c r="Q18" s="99">
        <f t="shared" si="0"/>
        <v>5232.210738848866</v>
      </c>
      <c r="R18" s="99">
        <f t="shared" si="1"/>
        <v>5219.726158482182</v>
      </c>
      <c r="S18" s="99">
        <f t="shared" si="2"/>
        <v>4972.9993119823175</v>
      </c>
      <c r="T18" s="99">
        <f t="shared" si="3"/>
        <v>5212.862371232271</v>
      </c>
      <c r="U18" s="99">
        <f t="shared" si="17"/>
        <v>5247.630977589339</v>
      </c>
      <c r="V18" s="99">
        <f t="shared" si="4"/>
        <v>5283.088095288028</v>
      </c>
      <c r="W18" s="99">
        <f t="shared" si="5"/>
        <v>5286.302900576258</v>
      </c>
      <c r="X18" s="99">
        <f t="shared" si="6"/>
        <v>5286.302885078376</v>
      </c>
      <c r="Y18" s="99">
        <f t="shared" si="7"/>
        <v>5137.22075362913</v>
      </c>
      <c r="Z18" s="99">
        <f t="shared" si="18"/>
        <v>5286.302824412074</v>
      </c>
      <c r="AA18" s="106">
        <f>C18*384546.83/113473.37</f>
        <v>5286.302857815892</v>
      </c>
      <c r="AB18" s="106">
        <f t="shared" si="8"/>
        <v>5286.302843903974</v>
      </c>
      <c r="AC18" s="99">
        <f t="shared" si="20"/>
        <v>62737.2527188387</v>
      </c>
      <c r="AD18" s="99">
        <f t="shared" si="21"/>
        <v>223.47959302045714</v>
      </c>
      <c r="AE18" s="106">
        <f t="shared" si="22"/>
        <v>463.0474960904869</v>
      </c>
      <c r="AF18" s="99">
        <f t="shared" si="9"/>
        <v>612.7207185126654</v>
      </c>
      <c r="AG18" s="99">
        <f t="shared" si="10"/>
        <v>910.3025731089283</v>
      </c>
      <c r="AH18" s="99">
        <f t="shared" si="23"/>
        <v>479.4293025144251</v>
      </c>
      <c r="AI18" s="99">
        <f t="shared" si="24"/>
        <v>547.673402980211</v>
      </c>
      <c r="AJ18" s="99">
        <f t="shared" si="11"/>
        <v>525.9624916358187</v>
      </c>
      <c r="AK18" s="99"/>
      <c r="AL18" s="99">
        <f t="shared" si="12"/>
        <v>477.9951745226876</v>
      </c>
      <c r="AM18" s="99">
        <f t="shared" si="13"/>
        <v>1105.0432504964685</v>
      </c>
      <c r="AN18" s="99">
        <f t="shared" si="14"/>
        <v>1011.5808471714554</v>
      </c>
      <c r="AO18" s="102">
        <f t="shared" si="15"/>
        <v>635.0553187767631</v>
      </c>
      <c r="AP18" s="99">
        <f t="shared" si="25"/>
        <v>6992.290168830366</v>
      </c>
      <c r="AQ18" s="32"/>
      <c r="AR18" s="32"/>
      <c r="AS18" s="99">
        <f>P18+AC18+AP18+AQ18+AR18</f>
        <v>176684.31288766908</v>
      </c>
    </row>
    <row r="19" spans="1:45" ht="12" customHeight="1">
      <c r="A19" s="11">
        <v>13</v>
      </c>
      <c r="B19" s="22" t="s">
        <v>21</v>
      </c>
      <c r="C19" s="93">
        <f>SUM(C6:C18)</f>
        <v>50112.700000000004</v>
      </c>
      <c r="D19" s="103">
        <f>SUM(D6:D18)</f>
        <v>4247.68</v>
      </c>
      <c r="E19" s="103">
        <f aca="true" t="shared" si="27" ref="E19:O19">SUM(E6:E18)</f>
        <v>0</v>
      </c>
      <c r="F19" s="103">
        <f t="shared" si="27"/>
        <v>158158.85</v>
      </c>
      <c r="G19" s="103">
        <f t="shared" si="27"/>
        <v>11349.39</v>
      </c>
      <c r="H19" s="103">
        <f t="shared" si="27"/>
        <v>218787.77000000002</v>
      </c>
      <c r="I19" s="103">
        <f t="shared" si="27"/>
        <v>376164.47000000003</v>
      </c>
      <c r="J19" s="103">
        <f t="shared" si="27"/>
        <v>1578860.6199999999</v>
      </c>
      <c r="K19" s="103">
        <f t="shared" si="27"/>
        <v>654336.7300000001</v>
      </c>
      <c r="L19" s="103">
        <f t="shared" si="27"/>
        <v>2138917.9499999997</v>
      </c>
      <c r="M19" s="103">
        <f t="shared" si="27"/>
        <v>311034.13999999996</v>
      </c>
      <c r="N19" s="103">
        <f t="shared" si="27"/>
        <v>0</v>
      </c>
      <c r="O19" s="103">
        <f t="shared" si="27"/>
        <v>25968</v>
      </c>
      <c r="P19" s="103">
        <f>SUM(P6:P18)</f>
        <v>5477825.600000001</v>
      </c>
      <c r="Q19" s="103">
        <f>SUM(Q6:Q18)</f>
        <v>168087.83068960288</v>
      </c>
      <c r="R19" s="103">
        <f aca="true" t="shared" si="28" ref="R19:AB19">SUM(R6:R18)</f>
        <v>167686.75624217576</v>
      </c>
      <c r="S19" s="103">
        <f>SUM(S6:S18)</f>
        <v>159760.51196972645</v>
      </c>
      <c r="T19" s="103">
        <f t="shared" si="28"/>
        <v>167466.25306163947</v>
      </c>
      <c r="U19" s="103">
        <f t="shared" si="28"/>
        <v>168583.21487957003</v>
      </c>
      <c r="V19" s="103">
        <f t="shared" si="28"/>
        <v>169722.29552711092</v>
      </c>
      <c r="W19" s="103">
        <f t="shared" si="28"/>
        <v>169825.57302757085</v>
      </c>
      <c r="X19" s="103">
        <f t="shared" si="28"/>
        <v>169825.57252969235</v>
      </c>
      <c r="Y19" s="103">
        <f t="shared" si="28"/>
        <v>165036.22184780467</v>
      </c>
      <c r="Z19" s="103">
        <f t="shared" si="28"/>
        <v>169825.5705807519</v>
      </c>
      <c r="AA19" s="103">
        <f t="shared" si="28"/>
        <v>169825.57165386915</v>
      </c>
      <c r="AB19" s="103">
        <f t="shared" si="28"/>
        <v>169825.5712069406</v>
      </c>
      <c r="AC19" s="103">
        <f>SUM(AC6:AC18)</f>
        <v>2015470.943216455</v>
      </c>
      <c r="AD19" s="103">
        <f>SUM(AD6:AD18)</f>
        <v>7179.4126553985925</v>
      </c>
      <c r="AE19" s="103">
        <f aca="true" t="shared" si="29" ref="AE19:AP19">SUM(AE6:AE18)</f>
        <v>14875.671682373062</v>
      </c>
      <c r="AF19" s="103">
        <f t="shared" si="29"/>
        <v>19684.01150753872</v>
      </c>
      <c r="AG19" s="103">
        <f t="shared" si="29"/>
        <v>29244.002663911655</v>
      </c>
      <c r="AH19" s="103">
        <f t="shared" si="29"/>
        <v>15401.946796663005</v>
      </c>
      <c r="AI19" s="103">
        <f t="shared" si="29"/>
        <v>17594.328445109568</v>
      </c>
      <c r="AJ19" s="103">
        <f>SUM(AJ6:AJ18)</f>
        <v>16896.852717865433</v>
      </c>
      <c r="AK19" s="103">
        <f t="shared" si="29"/>
        <v>0</v>
      </c>
      <c r="AL19" s="103">
        <f t="shared" si="29"/>
        <v>15355.87459600172</v>
      </c>
      <c r="AM19" s="103">
        <f t="shared" si="29"/>
        <v>35500.16084310172</v>
      </c>
      <c r="AN19" s="103">
        <f t="shared" si="29"/>
        <v>32497.626463266228</v>
      </c>
      <c r="AO19" s="103">
        <f t="shared" si="29"/>
        <v>20401.523606169816</v>
      </c>
      <c r="AP19" s="103">
        <f t="shared" si="29"/>
        <v>224631.41197739952</v>
      </c>
      <c r="AQ19" s="33">
        <f>SUM(AQ6:AQ17)</f>
        <v>0</v>
      </c>
      <c r="AR19" s="33">
        <f>SUM(AR6:AR17)</f>
        <v>0</v>
      </c>
      <c r="AS19" s="103">
        <f>SUM(AS6:AS18)</f>
        <v>7717927.955193857</v>
      </c>
    </row>
    <row r="20" spans="4:45" ht="12.75"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AS20" s="81"/>
    </row>
    <row r="21" spans="1:16" ht="12.75">
      <c r="A21" s="46" t="s">
        <v>66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12.75">
      <c r="A22" s="46" t="s">
        <v>67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ht="12.75">
      <c r="A23" s="46" t="s">
        <v>68</v>
      </c>
    </row>
    <row r="24" ht="12.75">
      <c r="A24" s="46" t="s">
        <v>69</v>
      </c>
    </row>
    <row r="25" ht="12.75">
      <c r="A25" s="46" t="s">
        <v>70</v>
      </c>
    </row>
    <row r="26" ht="12.75">
      <c r="A26" s="46"/>
    </row>
    <row r="27" ht="12.75">
      <c r="A27" s="46" t="s">
        <v>71</v>
      </c>
    </row>
    <row r="28" ht="12.75">
      <c r="A28" s="46" t="s">
        <v>72</v>
      </c>
    </row>
    <row r="29" ht="12.75">
      <c r="A29" s="46" t="s">
        <v>73</v>
      </c>
    </row>
    <row r="30" ht="12.75">
      <c r="A30" s="46" t="s">
        <v>74</v>
      </c>
    </row>
    <row r="31" ht="12.75">
      <c r="A31" s="46"/>
    </row>
    <row r="32" ht="12.75">
      <c r="A32" s="46" t="s">
        <v>75</v>
      </c>
    </row>
  </sheetData>
  <sheetProtection/>
  <autoFilter ref="A1:I19"/>
  <mergeCells count="5">
    <mergeCell ref="A2:AS2"/>
    <mergeCell ref="AD4:AP4"/>
    <mergeCell ref="Q4:AC4"/>
    <mergeCell ref="A3:I3"/>
    <mergeCell ref="D4:P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AS30"/>
  <sheetViews>
    <sheetView zoomScalePageLayoutView="0" workbookViewId="0" topLeftCell="A1">
      <pane xSplit="3" ySplit="5" topLeftCell="AB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O16" sqref="AO16"/>
    </sheetView>
  </sheetViews>
  <sheetFormatPr defaultColWidth="9.140625" defaultRowHeight="12.75"/>
  <cols>
    <col min="1" max="1" width="6.28125" style="27" customWidth="1"/>
    <col min="2" max="2" width="19.7109375" style="26" customWidth="1"/>
    <col min="3" max="3" width="9.140625" style="26" customWidth="1"/>
    <col min="4" max="4" width="9.28125" style="0" customWidth="1"/>
    <col min="5" max="5" width="9.00390625" style="0" customWidth="1"/>
    <col min="6" max="6" width="9.8515625" style="0" customWidth="1"/>
    <col min="7" max="7" width="8.140625" style="0" customWidth="1"/>
    <col min="8" max="8" width="10.7109375" style="0" customWidth="1"/>
    <col min="9" max="9" width="9.57421875" style="0" customWidth="1"/>
    <col min="10" max="11" width="9.8515625" style="0" customWidth="1"/>
    <col min="12" max="12" width="10.57421875" style="0" customWidth="1"/>
    <col min="13" max="13" width="9.00390625" style="0" customWidth="1"/>
    <col min="14" max="15" width="9.8515625" style="0" customWidth="1"/>
    <col min="16" max="16" width="10.8515625" style="0" customWidth="1"/>
    <col min="17" max="20" width="9.00390625" style="0" customWidth="1"/>
    <col min="21" max="28" width="9.57421875" style="0" customWidth="1"/>
    <col min="29" max="29" width="11.140625" style="0" bestFit="1" customWidth="1"/>
    <col min="30" max="41" width="9.28125" style="0" customWidth="1"/>
    <col min="42" max="42" width="10.8515625" style="0" customWidth="1"/>
    <col min="43" max="43" width="14.57421875" style="0" customWidth="1"/>
    <col min="44" max="44" width="13.421875" style="0" customWidth="1"/>
    <col min="45" max="45" width="11.140625" style="0" bestFit="1" customWidth="1"/>
  </cols>
  <sheetData>
    <row r="1" spans="1:4" ht="15" customHeight="1">
      <c r="A1" s="1"/>
      <c r="B1" s="2"/>
      <c r="C1" s="2"/>
      <c r="D1" s="3"/>
    </row>
    <row r="2" spans="1:45" ht="12.75">
      <c r="A2" s="363" t="s">
        <v>135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</row>
    <row r="3" spans="1:9" ht="13.5" thickBot="1">
      <c r="A3" s="367"/>
      <c r="B3" s="367"/>
      <c r="C3" s="367"/>
      <c r="D3" s="367"/>
      <c r="E3" s="367"/>
      <c r="F3" s="367"/>
      <c r="G3" s="367"/>
      <c r="H3" s="367"/>
      <c r="I3" s="367"/>
    </row>
    <row r="4" spans="1:45" ht="30.75" thickBot="1">
      <c r="A4" s="4" t="s">
        <v>0</v>
      </c>
      <c r="B4" s="5" t="s">
        <v>1</v>
      </c>
      <c r="C4" s="291" t="s">
        <v>2</v>
      </c>
      <c r="D4" s="364" t="s">
        <v>38</v>
      </c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6"/>
      <c r="Q4" s="364" t="s">
        <v>39</v>
      </c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6"/>
      <c r="AD4" s="364" t="s">
        <v>40</v>
      </c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6"/>
      <c r="AQ4" s="54" t="s">
        <v>91</v>
      </c>
      <c r="AR4" s="54" t="s">
        <v>89</v>
      </c>
      <c r="AS4" s="28" t="s">
        <v>41</v>
      </c>
    </row>
    <row r="5" spans="1:45" ht="12" customHeight="1" thickBot="1">
      <c r="A5" s="14"/>
      <c r="B5" s="15" t="s">
        <v>22</v>
      </c>
      <c r="C5" s="16"/>
      <c r="D5" s="295" t="s">
        <v>42</v>
      </c>
      <c r="E5" s="29" t="s">
        <v>43</v>
      </c>
      <c r="F5" s="29" t="s">
        <v>44</v>
      </c>
      <c r="G5" s="29" t="s">
        <v>45</v>
      </c>
      <c r="H5" s="29" t="s">
        <v>46</v>
      </c>
      <c r="I5" s="29" t="s">
        <v>47</v>
      </c>
      <c r="J5" s="29" t="s">
        <v>48</v>
      </c>
      <c r="K5" s="29" t="s">
        <v>49</v>
      </c>
      <c r="L5" s="29" t="s">
        <v>50</v>
      </c>
      <c r="M5" s="29" t="s">
        <v>51</v>
      </c>
      <c r="N5" s="29" t="s">
        <v>52</v>
      </c>
      <c r="O5" s="29" t="s">
        <v>53</v>
      </c>
      <c r="P5" s="286" t="s">
        <v>54</v>
      </c>
      <c r="Q5" s="285" t="s">
        <v>42</v>
      </c>
      <c r="R5" s="30" t="s">
        <v>43</v>
      </c>
      <c r="S5" s="30" t="s">
        <v>44</v>
      </c>
      <c r="T5" s="30" t="s">
        <v>45</v>
      </c>
      <c r="U5" s="30" t="s">
        <v>46</v>
      </c>
      <c r="V5" s="30" t="s">
        <v>47</v>
      </c>
      <c r="W5" s="30" t="s">
        <v>48</v>
      </c>
      <c r="X5" s="30" t="s">
        <v>49</v>
      </c>
      <c r="Y5" s="30" t="s">
        <v>50</v>
      </c>
      <c r="Z5" s="30" t="s">
        <v>51</v>
      </c>
      <c r="AA5" s="30" t="s">
        <v>52</v>
      </c>
      <c r="AB5" s="30" t="s">
        <v>53</v>
      </c>
      <c r="AC5" s="286" t="s">
        <v>54</v>
      </c>
      <c r="AD5" s="285" t="s">
        <v>42</v>
      </c>
      <c r="AE5" s="30" t="s">
        <v>43</v>
      </c>
      <c r="AF5" s="30" t="s">
        <v>44</v>
      </c>
      <c r="AG5" s="30" t="s">
        <v>45</v>
      </c>
      <c r="AH5" s="30" t="s">
        <v>46</v>
      </c>
      <c r="AI5" s="30" t="s">
        <v>47</v>
      </c>
      <c r="AJ5" s="30" t="s">
        <v>48</v>
      </c>
      <c r="AK5" s="30" t="s">
        <v>49</v>
      </c>
      <c r="AL5" s="30" t="s">
        <v>50</v>
      </c>
      <c r="AM5" s="30" t="s">
        <v>51</v>
      </c>
      <c r="AN5" s="30" t="s">
        <v>52</v>
      </c>
      <c r="AO5" s="30" t="s">
        <v>53</v>
      </c>
      <c r="AP5" s="286" t="s">
        <v>54</v>
      </c>
      <c r="AQ5" s="299" t="s">
        <v>92</v>
      </c>
      <c r="AR5" s="30" t="s">
        <v>54</v>
      </c>
      <c r="AS5" s="31"/>
    </row>
    <row r="6" spans="1:45" ht="12" customHeight="1">
      <c r="A6" s="24">
        <v>1</v>
      </c>
      <c r="B6" s="7" t="s">
        <v>23</v>
      </c>
      <c r="C6" s="292">
        <v>4140.6</v>
      </c>
      <c r="D6" s="296">
        <v>53516.47</v>
      </c>
      <c r="E6" s="99"/>
      <c r="F6" s="99"/>
      <c r="G6" s="99">
        <f>4892.91+20832.18</f>
        <v>25725.09</v>
      </c>
      <c r="H6" s="99"/>
      <c r="I6" s="99"/>
      <c r="J6" s="99">
        <f>42180.39+5965.1</f>
        <v>48145.49</v>
      </c>
      <c r="K6" s="99">
        <f>604.55+25496.47+5700</f>
        <v>31801.02</v>
      </c>
      <c r="L6" s="99">
        <f>21457.33+32462.83</f>
        <v>53920.16</v>
      </c>
      <c r="M6" s="99">
        <f>4000</f>
        <v>4000</v>
      </c>
      <c r="N6" s="99"/>
      <c r="O6" s="99"/>
      <c r="P6" s="118">
        <f>SUM(D6:O6)</f>
        <v>217108.22999999998</v>
      </c>
      <c r="Q6" s="287">
        <f aca="true" t="shared" si="0" ref="Q6:Q16">C6*395084.84/117788.23</f>
        <v>13888.385015243037</v>
      </c>
      <c r="R6" s="99">
        <f aca="true" t="shared" si="1" ref="R6:R16">C6*394125.33/117783.21</f>
        <v>13855.245933592743</v>
      </c>
      <c r="S6" s="99">
        <f aca="true" t="shared" si="2" ref="S6:S16">C6*375496.07/117783.31</f>
        <v>13200.333964481048</v>
      </c>
      <c r="T6" s="99">
        <f aca="true" t="shared" si="3" ref="T6:T16">C6*393605.73/117782.81</f>
        <v>13837.026690380371</v>
      </c>
      <c r="U6" s="99">
        <f aca="true" t="shared" si="4" ref="U6:U16">C6*396218.88/117779.21</f>
        <v>13929.316511190727</v>
      </c>
      <c r="V6" s="99">
        <f aca="true" t="shared" si="5" ref="V6:V16">C6*398895.03/117778.91</f>
        <v>14023.433917141872</v>
      </c>
      <c r="W6" s="99">
        <f aca="true" t="shared" si="6" ref="W6:W16">C6*399138.1/117779.01</f>
        <v>14031.967299266655</v>
      </c>
      <c r="X6" s="99">
        <f aca="true" t="shared" si="7" ref="X6:X16">C6*399125.56/117775.31</f>
        <v>14031.96725812906</v>
      </c>
      <c r="Y6" s="99">
        <f aca="true" t="shared" si="8" ref="Y6:Y16">C6*387842.91/117767.21</f>
        <v>13636.243510787086</v>
      </c>
      <c r="Z6" s="99">
        <f aca="true" t="shared" si="9" ref="Z6:Z16">C6*399096.75/117766.81</f>
        <v>14031.967097096374</v>
      </c>
      <c r="AA6" s="106">
        <f>C6*384546.83/113473.37</f>
        <v>14031.967185763498</v>
      </c>
      <c r="AB6" s="106">
        <f aca="true" t="shared" si="10" ref="AB6:AB16">C6*384567.84/113479.57</f>
        <v>14031.967148835689</v>
      </c>
      <c r="AC6" s="288">
        <f>SUM(Q6:AB6)</f>
        <v>166529.82153190815</v>
      </c>
      <c r="AD6" s="287">
        <f aca="true" t="shared" si="11" ref="AD6:AD16">C6*16874.97/117788.23</f>
        <v>593.2044380155811</v>
      </c>
      <c r="AE6" s="106">
        <f aca="true" t="shared" si="12" ref="AE6:AE16">C6*34963.28/117783.21</f>
        <v>1229.1137010784475</v>
      </c>
      <c r="AF6" s="99">
        <f aca="true" t="shared" si="13" ref="AF6:AF16">C6*46264.68/117783.31</f>
        <v>1626.4064408446325</v>
      </c>
      <c r="AG6" s="99">
        <f aca="true" t="shared" si="14" ref="AG6:AG16">C6*68733.89/117782.81</f>
        <v>2416.307990393505</v>
      </c>
      <c r="AH6" s="99">
        <f>C6*36198.99/117779.21</f>
        <v>1272.5975831727858</v>
      </c>
      <c r="AI6" s="99">
        <f>C6*41351.61/117778.91</f>
        <v>1453.7447864477606</v>
      </c>
      <c r="AJ6" s="99">
        <f aca="true" t="shared" si="15" ref="AJ6:AJ16">C6*39712.38/117779.01</f>
        <v>1396.1153233330795</v>
      </c>
      <c r="AK6" s="102"/>
      <c r="AL6" s="99">
        <f aca="true" t="shared" si="16" ref="AL6:AL16">C6*36087.03/117767.21</f>
        <v>1268.7908325076226</v>
      </c>
      <c r="AM6" s="99">
        <f aca="true" t="shared" si="17" ref="AM6:AM16">C6*83426.77/117766.81</f>
        <v>2933.227824223141</v>
      </c>
      <c r="AN6" s="99">
        <f aca="true" t="shared" si="18" ref="AN6:AN16">C6*73586.44/113473.37</f>
        <v>2685.141134558708</v>
      </c>
      <c r="AO6" s="102">
        <f aca="true" t="shared" si="19" ref="AO6:AO16">C6*46198.99/113479.57</f>
        <v>1685.6914244035293</v>
      </c>
      <c r="AP6" s="288">
        <f>SUM(AD6:AO6)</f>
        <v>18560.34147897879</v>
      </c>
      <c r="AQ6" s="300"/>
      <c r="AR6" s="99"/>
      <c r="AS6" s="115">
        <f>P6+AC6+AP6+AQ6+AR6</f>
        <v>402198.3930108869</v>
      </c>
    </row>
    <row r="7" spans="1:45" ht="12" customHeight="1">
      <c r="A7" s="8">
        <v>2</v>
      </c>
      <c r="B7" s="9" t="s">
        <v>24</v>
      </c>
      <c r="C7" s="293">
        <v>4069.93</v>
      </c>
      <c r="D7" s="296"/>
      <c r="E7" s="99"/>
      <c r="F7" s="99"/>
      <c r="G7" s="99">
        <f>7719.85</f>
        <v>7719.85</v>
      </c>
      <c r="H7" s="99"/>
      <c r="I7" s="99"/>
      <c r="J7" s="99">
        <f>42180.39</f>
        <v>42180.39</v>
      </c>
      <c r="K7" s="99">
        <f>604.55</f>
        <v>604.55</v>
      </c>
      <c r="L7" s="99">
        <f>14267.46+32019.89+196853.47</f>
        <v>243140.82</v>
      </c>
      <c r="M7" s="99"/>
      <c r="N7" s="99">
        <f>8587.12</f>
        <v>8587.12</v>
      </c>
      <c r="O7" s="99">
        <f>31765.28</f>
        <v>31765.28</v>
      </c>
      <c r="P7" s="118">
        <f aca="true" t="shared" si="20" ref="P7:P16">SUM(D7:O7)</f>
        <v>333998.01</v>
      </c>
      <c r="Q7" s="287">
        <f t="shared" si="0"/>
        <v>13651.343965871634</v>
      </c>
      <c r="R7" s="99">
        <f t="shared" si="1"/>
        <v>13618.770487974474</v>
      </c>
      <c r="S7" s="99">
        <f t="shared" si="2"/>
        <v>12975.036277848703</v>
      </c>
      <c r="T7" s="99">
        <f t="shared" si="3"/>
        <v>13600.862203057473</v>
      </c>
      <c r="U7" s="99">
        <f t="shared" si="4"/>
        <v>13691.576860452706</v>
      </c>
      <c r="V7" s="99">
        <f t="shared" si="5"/>
        <v>13784.087910542728</v>
      </c>
      <c r="W7" s="99">
        <f t="shared" si="6"/>
        <v>13792.475648530244</v>
      </c>
      <c r="X7" s="99">
        <f t="shared" si="7"/>
        <v>13792.47560809477</v>
      </c>
      <c r="Y7" s="99">
        <f t="shared" si="8"/>
        <v>13403.505905389962</v>
      </c>
      <c r="Z7" s="99">
        <f t="shared" si="9"/>
        <v>13792.47544981052</v>
      </c>
      <c r="AA7" s="106">
        <f aca="true" t="shared" si="21" ref="AA7:AA16">C7*384546.83/113473.37</f>
        <v>13792.475536964312</v>
      </c>
      <c r="AB7" s="106">
        <f t="shared" si="10"/>
        <v>13792.475500666773</v>
      </c>
      <c r="AC7" s="288">
        <f aca="true" t="shared" si="22" ref="AC7:AC16">SUM(Q7:AB7)</f>
        <v>163687.56135520432</v>
      </c>
      <c r="AD7" s="287">
        <f t="shared" si="11"/>
        <v>583.0798769291295</v>
      </c>
      <c r="AE7" s="106">
        <f t="shared" si="12"/>
        <v>1208.1357111119657</v>
      </c>
      <c r="AF7" s="99">
        <f t="shared" si="13"/>
        <v>1598.6476273455044</v>
      </c>
      <c r="AG7" s="99">
        <f t="shared" si="14"/>
        <v>2375.0674731541894</v>
      </c>
      <c r="AH7" s="99">
        <f aca="true" t="shared" si="23" ref="AH7:AH16">C7*36198.99/117779.21</f>
        <v>1250.877428798342</v>
      </c>
      <c r="AI7" s="99">
        <f aca="true" t="shared" si="24" ref="AI7:AI16">C7*41351.61/117778.91</f>
        <v>1428.9328886410988</v>
      </c>
      <c r="AJ7" s="99">
        <f t="shared" si="15"/>
        <v>1372.2870206957928</v>
      </c>
      <c r="AK7" s="102"/>
      <c r="AL7" s="99">
        <f t="shared" si="16"/>
        <v>1247.135650134702</v>
      </c>
      <c r="AM7" s="99">
        <f t="shared" si="17"/>
        <v>2883.16473908141</v>
      </c>
      <c r="AN7" s="99">
        <f t="shared" si="18"/>
        <v>2639.3122875367144</v>
      </c>
      <c r="AO7" s="102">
        <f t="shared" si="19"/>
        <v>1656.9207600160978</v>
      </c>
      <c r="AP7" s="288">
        <f aca="true" t="shared" si="25" ref="AP7:AP16">SUM(AD7:AO7)</f>
        <v>18243.56146344495</v>
      </c>
      <c r="AQ7" s="300"/>
      <c r="AR7" s="99"/>
      <c r="AS7" s="115">
        <f aca="true" t="shared" si="26" ref="AS7:AS16">P7+AC7+AP7+AQ7+AR7</f>
        <v>515929.1328186493</v>
      </c>
    </row>
    <row r="8" spans="1:45" ht="12" customHeight="1">
      <c r="A8" s="24">
        <v>3</v>
      </c>
      <c r="B8" s="9" t="s">
        <v>25</v>
      </c>
      <c r="C8" s="293">
        <v>1758.38</v>
      </c>
      <c r="D8" s="296"/>
      <c r="E8" s="99"/>
      <c r="F8" s="99"/>
      <c r="G8" s="99"/>
      <c r="H8" s="99">
        <f>19200</f>
        <v>19200</v>
      </c>
      <c r="I8" s="99"/>
      <c r="J8" s="99">
        <f>29786.54</f>
        <v>29786.54</v>
      </c>
      <c r="K8" s="99">
        <f>604.55+6273.31+27947.09</f>
        <v>34824.95</v>
      </c>
      <c r="L8" s="99">
        <f>13760.9</f>
        <v>13760.9</v>
      </c>
      <c r="M8" s="99">
        <f>15847.08</f>
        <v>15847.08</v>
      </c>
      <c r="N8" s="99"/>
      <c r="O8" s="99"/>
      <c r="P8" s="118">
        <f t="shared" si="20"/>
        <v>113419.46999999999</v>
      </c>
      <c r="Q8" s="287">
        <f t="shared" si="0"/>
        <v>5897.9516116270715</v>
      </c>
      <c r="R8" s="99">
        <f t="shared" si="1"/>
        <v>5883.87850666831</v>
      </c>
      <c r="S8" s="99">
        <f t="shared" si="2"/>
        <v>5605.7584013099995</v>
      </c>
      <c r="T8" s="99">
        <f t="shared" si="3"/>
        <v>5876.141378503366</v>
      </c>
      <c r="U8" s="99">
        <f t="shared" si="4"/>
        <v>5915.333904976948</v>
      </c>
      <c r="V8" s="99">
        <f t="shared" si="5"/>
        <v>5955.302548235504</v>
      </c>
      <c r="W8" s="99">
        <f t="shared" si="6"/>
        <v>5958.926401894531</v>
      </c>
      <c r="X8" s="99">
        <f t="shared" si="7"/>
        <v>5958.926384424715</v>
      </c>
      <c r="Y8" s="99">
        <f t="shared" si="8"/>
        <v>5790.875202747862</v>
      </c>
      <c r="Z8" s="99">
        <f t="shared" si="9"/>
        <v>5958.926316039298</v>
      </c>
      <c r="AA8" s="106">
        <f t="shared" si="21"/>
        <v>5958.926353693383</v>
      </c>
      <c r="AB8" s="106">
        <f t="shared" si="10"/>
        <v>5958.926338011327</v>
      </c>
      <c r="AC8" s="288">
        <f t="shared" si="22"/>
        <v>70719.87334813233</v>
      </c>
      <c r="AD8" s="287">
        <f t="shared" si="11"/>
        <v>251.91489632368194</v>
      </c>
      <c r="AE8" s="106">
        <f t="shared" si="12"/>
        <v>521.9651619819158</v>
      </c>
      <c r="AF8" s="99">
        <f t="shared" si="13"/>
        <v>690.6826444120139</v>
      </c>
      <c r="AG8" s="99">
        <f t="shared" si="14"/>
        <v>1026.1284944568736</v>
      </c>
      <c r="AH8" s="99">
        <f t="shared" si="23"/>
        <v>540.4313718541667</v>
      </c>
      <c r="AI8" s="99">
        <f t="shared" si="24"/>
        <v>617.3587783398574</v>
      </c>
      <c r="AJ8" s="99">
        <f t="shared" si="15"/>
        <v>592.8853939628121</v>
      </c>
      <c r="AK8" s="102"/>
      <c r="AL8" s="99">
        <f t="shared" si="16"/>
        <v>538.8147669576276</v>
      </c>
      <c r="AM8" s="99">
        <f t="shared" si="17"/>
        <v>1245.6477664003978</v>
      </c>
      <c r="AN8" s="99">
        <f t="shared" si="18"/>
        <v>1140.2933072949188</v>
      </c>
      <c r="AO8" s="102">
        <f t="shared" si="19"/>
        <v>715.8590752167989</v>
      </c>
      <c r="AP8" s="288">
        <f t="shared" si="25"/>
        <v>7881.981657201065</v>
      </c>
      <c r="AQ8" s="300"/>
      <c r="AR8" s="99"/>
      <c r="AS8" s="115">
        <f t="shared" si="26"/>
        <v>192021.3250053334</v>
      </c>
    </row>
    <row r="9" spans="1:45" ht="12" customHeight="1">
      <c r="A9" s="8">
        <v>4</v>
      </c>
      <c r="B9" s="9" t="s">
        <v>26</v>
      </c>
      <c r="C9" s="293">
        <v>1607.71</v>
      </c>
      <c r="D9" s="296"/>
      <c r="E9" s="99"/>
      <c r="F9" s="99"/>
      <c r="G9" s="99"/>
      <c r="H9" s="99"/>
      <c r="I9" s="99"/>
      <c r="J9" s="99">
        <f>29786.54+70516</f>
        <v>100302.54000000001</v>
      </c>
      <c r="K9" s="99">
        <f>604.55+2299.79</f>
        <v>2904.34</v>
      </c>
      <c r="L9" s="99">
        <f>12574.73</f>
        <v>12574.73</v>
      </c>
      <c r="M9" s="99"/>
      <c r="N9" s="99"/>
      <c r="O9" s="99"/>
      <c r="P9" s="118">
        <f t="shared" si="20"/>
        <v>115781.61</v>
      </c>
      <c r="Q9" s="287">
        <f t="shared" si="0"/>
        <v>5392.574861821084</v>
      </c>
      <c r="R9" s="99">
        <f t="shared" si="1"/>
        <v>5379.707636549387</v>
      </c>
      <c r="S9" s="99">
        <f t="shared" si="2"/>
        <v>5125.418760091731</v>
      </c>
      <c r="T9" s="99">
        <f t="shared" si="3"/>
        <v>5372.633478334403</v>
      </c>
      <c r="U9" s="99">
        <f t="shared" si="4"/>
        <v>5408.4677216361015</v>
      </c>
      <c r="V9" s="99">
        <f t="shared" si="5"/>
        <v>5445.0115787393515</v>
      </c>
      <c r="W9" s="99">
        <f t="shared" si="6"/>
        <v>5448.324915882719</v>
      </c>
      <c r="X9" s="99">
        <f t="shared" si="7"/>
        <v>5448.324899909837</v>
      </c>
      <c r="Y9" s="99">
        <f t="shared" si="8"/>
        <v>5294.673490491114</v>
      </c>
      <c r="Z9" s="99">
        <f t="shared" si="9"/>
        <v>5448.324837384149</v>
      </c>
      <c r="AA9" s="106">
        <f t="shared" si="21"/>
        <v>5448.324871811775</v>
      </c>
      <c r="AB9" s="106">
        <f t="shared" si="10"/>
        <v>5448.324857473464</v>
      </c>
      <c r="AC9" s="288">
        <f t="shared" si="22"/>
        <v>64660.11191012511</v>
      </c>
      <c r="AD9" s="287">
        <f t="shared" si="11"/>
        <v>230.32910859344778</v>
      </c>
      <c r="AE9" s="106">
        <f t="shared" si="12"/>
        <v>477.2396242961964</v>
      </c>
      <c r="AF9" s="99">
        <f t="shared" si="13"/>
        <v>631.5002412718745</v>
      </c>
      <c r="AG9" s="99">
        <f t="shared" si="14"/>
        <v>938.2028013417239</v>
      </c>
      <c r="AH9" s="99">
        <f t="shared" si="23"/>
        <v>494.12352326781604</v>
      </c>
      <c r="AI9" s="99">
        <f t="shared" si="24"/>
        <v>564.4592645075421</v>
      </c>
      <c r="AJ9" s="99">
        <f t="shared" si="15"/>
        <v>542.0829267439079</v>
      </c>
      <c r="AK9" s="102"/>
      <c r="AL9" s="99">
        <f t="shared" si="16"/>
        <v>492.64544011274444</v>
      </c>
      <c r="AM9" s="99">
        <f t="shared" si="17"/>
        <v>1138.912163764137</v>
      </c>
      <c r="AN9" s="99">
        <f t="shared" si="18"/>
        <v>1042.5851937983336</v>
      </c>
      <c r="AO9" s="102">
        <f t="shared" si="19"/>
        <v>654.5193836467656</v>
      </c>
      <c r="AP9" s="288">
        <f t="shared" si="25"/>
        <v>7206.599671344489</v>
      </c>
      <c r="AQ9" s="300"/>
      <c r="AR9" s="99"/>
      <c r="AS9" s="115">
        <f t="shared" si="26"/>
        <v>187648.3215814696</v>
      </c>
    </row>
    <row r="10" spans="1:45" ht="12" customHeight="1">
      <c r="A10" s="24">
        <v>5</v>
      </c>
      <c r="B10" s="9" t="s">
        <v>27</v>
      </c>
      <c r="C10" s="293">
        <v>1566.5</v>
      </c>
      <c r="D10" s="296"/>
      <c r="E10" s="99"/>
      <c r="F10" s="99">
        <v>7033.73</v>
      </c>
      <c r="G10" s="99"/>
      <c r="H10" s="99"/>
      <c r="I10" s="99"/>
      <c r="J10" s="99">
        <f>29786.54</f>
        <v>29786.54</v>
      </c>
      <c r="K10" s="99">
        <f>604.55+4599.55+23794</f>
        <v>28998.1</v>
      </c>
      <c r="L10" s="99">
        <f>12264.74</f>
        <v>12264.74</v>
      </c>
      <c r="M10" s="99">
        <f>97914.06</f>
        <v>97914.06</v>
      </c>
      <c r="N10" s="99"/>
      <c r="O10" s="99"/>
      <c r="P10" s="118">
        <f t="shared" si="20"/>
        <v>175997.16999999998</v>
      </c>
      <c r="Q10" s="287">
        <f t="shared" si="0"/>
        <v>5254.348434134718</v>
      </c>
      <c r="R10" s="99">
        <f t="shared" si="1"/>
        <v>5241.811031003485</v>
      </c>
      <c r="S10" s="99">
        <f t="shared" si="2"/>
        <v>4994.040273235656</v>
      </c>
      <c r="T10" s="99">
        <f t="shared" si="3"/>
        <v>5234.918202792071</v>
      </c>
      <c r="U10" s="99">
        <f t="shared" si="4"/>
        <v>5269.833916529071</v>
      </c>
      <c r="V10" s="99">
        <f t="shared" si="5"/>
        <v>5305.44105472703</v>
      </c>
      <c r="W10" s="99">
        <f t="shared" si="6"/>
        <v>5308.669461986478</v>
      </c>
      <c r="X10" s="99">
        <f t="shared" si="7"/>
        <v>5308.669446423024</v>
      </c>
      <c r="Y10" s="99">
        <f t="shared" si="8"/>
        <v>5158.956542445048</v>
      </c>
      <c r="Z10" s="99">
        <f t="shared" si="9"/>
        <v>5308.66938550004</v>
      </c>
      <c r="AA10" s="106">
        <f t="shared" si="21"/>
        <v>5308.669419045192</v>
      </c>
      <c r="AB10" s="106">
        <f t="shared" si="10"/>
        <v>5308.669405074411</v>
      </c>
      <c r="AC10" s="288">
        <f t="shared" si="22"/>
        <v>63002.696572896224</v>
      </c>
      <c r="AD10" s="287">
        <f t="shared" si="11"/>
        <v>224.42514421856924</v>
      </c>
      <c r="AE10" s="106">
        <f t="shared" si="12"/>
        <v>465.00666877732397</v>
      </c>
      <c r="AF10" s="99">
        <f t="shared" si="13"/>
        <v>615.3131646580488</v>
      </c>
      <c r="AG10" s="99">
        <f t="shared" si="14"/>
        <v>914.1541001186846</v>
      </c>
      <c r="AH10" s="99">
        <f t="shared" si="23"/>
        <v>481.4577872869073</v>
      </c>
      <c r="AI10" s="99">
        <f t="shared" si="24"/>
        <v>549.9906313023273</v>
      </c>
      <c r="AJ10" s="99">
        <f t="shared" si="15"/>
        <v>528.1878602138021</v>
      </c>
      <c r="AK10" s="102"/>
      <c r="AL10" s="99">
        <f t="shared" si="16"/>
        <v>480.0175914416245</v>
      </c>
      <c r="AM10" s="99">
        <f t="shared" si="17"/>
        <v>1109.7187331897674</v>
      </c>
      <c r="AN10" s="99">
        <f t="shared" si="18"/>
        <v>1015.8608866556092</v>
      </c>
      <c r="AO10" s="102">
        <f t="shared" si="19"/>
        <v>637.7422635193277</v>
      </c>
      <c r="AP10" s="288">
        <f t="shared" si="25"/>
        <v>7021.874831381993</v>
      </c>
      <c r="AQ10" s="300"/>
      <c r="AR10" s="99"/>
      <c r="AS10" s="115">
        <f t="shared" si="26"/>
        <v>246021.74140427817</v>
      </c>
    </row>
    <row r="11" spans="1:45" ht="12" customHeight="1">
      <c r="A11" s="8">
        <v>6</v>
      </c>
      <c r="B11" s="9" t="s">
        <v>28</v>
      </c>
      <c r="C11" s="293">
        <v>1531</v>
      </c>
      <c r="D11" s="296"/>
      <c r="E11" s="99"/>
      <c r="F11" s="99">
        <v>7033.73</v>
      </c>
      <c r="G11" s="99"/>
      <c r="H11" s="99"/>
      <c r="I11" s="99"/>
      <c r="J11" s="99">
        <f>29786.54</f>
        <v>29786.54</v>
      </c>
      <c r="K11" s="99">
        <f>604.55+4599.55</f>
        <v>5204.1</v>
      </c>
      <c r="L11" s="99">
        <f>11985.36</f>
        <v>11985.36</v>
      </c>
      <c r="M11" s="99">
        <f>70000</f>
        <v>70000</v>
      </c>
      <c r="N11" s="99"/>
      <c r="O11" s="99"/>
      <c r="P11" s="118">
        <f t="shared" si="20"/>
        <v>124009.73000000001</v>
      </c>
      <c r="Q11" s="287">
        <f t="shared" si="0"/>
        <v>5135.274467066872</v>
      </c>
      <c r="R11" s="99">
        <f t="shared" si="1"/>
        <v>5123.021186381318</v>
      </c>
      <c r="S11" s="99">
        <f t="shared" si="2"/>
        <v>4880.865405888151</v>
      </c>
      <c r="T11" s="99">
        <f t="shared" si="3"/>
        <v>5116.284563341628</v>
      </c>
      <c r="U11" s="99">
        <f t="shared" si="4"/>
        <v>5150.4090176865675</v>
      </c>
      <c r="V11" s="99">
        <f t="shared" si="5"/>
        <v>5185.209227441484</v>
      </c>
      <c r="W11" s="99">
        <f t="shared" si="6"/>
        <v>5188.364472583018</v>
      </c>
      <c r="X11" s="99">
        <f t="shared" si="7"/>
        <v>5188.364457372263</v>
      </c>
      <c r="Y11" s="99">
        <f t="shared" si="8"/>
        <v>5042.044345026089</v>
      </c>
      <c r="Z11" s="99">
        <f t="shared" si="9"/>
        <v>5188.364397829915</v>
      </c>
      <c r="AA11" s="106">
        <f t="shared" si="21"/>
        <v>5188.364430614866</v>
      </c>
      <c r="AB11" s="106">
        <f t="shared" si="10"/>
        <v>5188.364416960692</v>
      </c>
      <c r="AC11" s="288">
        <f t="shared" si="22"/>
        <v>61574.93038819286</v>
      </c>
      <c r="AD11" s="287">
        <f t="shared" si="11"/>
        <v>219.33922489539066</v>
      </c>
      <c r="AE11" s="106">
        <f t="shared" si="12"/>
        <v>454.4686944769123</v>
      </c>
      <c r="AF11" s="99">
        <f t="shared" si="13"/>
        <v>601.3689467548501</v>
      </c>
      <c r="AG11" s="99">
        <f t="shared" si="14"/>
        <v>893.437553323783</v>
      </c>
      <c r="AH11" s="99">
        <f t="shared" si="23"/>
        <v>470.5469979803736</v>
      </c>
      <c r="AI11" s="99">
        <f t="shared" si="24"/>
        <v>537.5267516909437</v>
      </c>
      <c r="AJ11" s="99">
        <f t="shared" si="15"/>
        <v>516.2180746807092</v>
      </c>
      <c r="AK11" s="102"/>
      <c r="AL11" s="99">
        <f t="shared" si="16"/>
        <v>469.13943983219093</v>
      </c>
      <c r="AM11" s="99">
        <f t="shared" si="17"/>
        <v>1084.5703035515694</v>
      </c>
      <c r="AN11" s="99">
        <f t="shared" si="18"/>
        <v>992.8394621575089</v>
      </c>
      <c r="AO11" s="102">
        <f t="shared" si="19"/>
        <v>623.289757707048</v>
      </c>
      <c r="AP11" s="288">
        <f t="shared" si="25"/>
        <v>6862.745207051279</v>
      </c>
      <c r="AQ11" s="300"/>
      <c r="AR11" s="99"/>
      <c r="AS11" s="115">
        <f t="shared" si="26"/>
        <v>192447.40559524414</v>
      </c>
    </row>
    <row r="12" spans="1:45" ht="12" customHeight="1">
      <c r="A12" s="24">
        <v>7</v>
      </c>
      <c r="B12" s="9" t="s">
        <v>29</v>
      </c>
      <c r="C12" s="293">
        <v>1232.9</v>
      </c>
      <c r="D12" s="296"/>
      <c r="E12" s="99"/>
      <c r="F12" s="99"/>
      <c r="G12" s="99"/>
      <c r="H12" s="99"/>
      <c r="I12" s="99"/>
      <c r="J12" s="99">
        <f>55320.99</f>
        <v>55320.99</v>
      </c>
      <c r="K12" s="99">
        <f>604.55+29786.54+24390</f>
        <v>54781.09</v>
      </c>
      <c r="L12" s="99">
        <f>9263.51</f>
        <v>9263.51</v>
      </c>
      <c r="M12" s="99"/>
      <c r="N12" s="99"/>
      <c r="O12" s="99"/>
      <c r="P12" s="118">
        <f t="shared" si="20"/>
        <v>119365.58999999998</v>
      </c>
      <c r="Q12" s="287">
        <f t="shared" si="0"/>
        <v>4135.388563322499</v>
      </c>
      <c r="R12" s="99">
        <f t="shared" si="1"/>
        <v>4125.521110835747</v>
      </c>
      <c r="S12" s="99">
        <f t="shared" si="2"/>
        <v>3930.515322612347</v>
      </c>
      <c r="T12" s="99">
        <f t="shared" si="3"/>
        <v>4120.096171223968</v>
      </c>
      <c r="U12" s="99">
        <f t="shared" si="4"/>
        <v>4147.576275575291</v>
      </c>
      <c r="V12" s="99">
        <f t="shared" si="5"/>
        <v>4175.600559446509</v>
      </c>
      <c r="W12" s="99">
        <f t="shared" si="6"/>
        <v>4178.141448888049</v>
      </c>
      <c r="X12" s="99">
        <f t="shared" si="7"/>
        <v>4178.14143663897</v>
      </c>
      <c r="Y12" s="99">
        <f t="shared" si="8"/>
        <v>4060.311216840409</v>
      </c>
      <c r="Z12" s="99">
        <f t="shared" si="9"/>
        <v>4178.141388690074</v>
      </c>
      <c r="AA12" s="106">
        <f t="shared" si="21"/>
        <v>4178.141415091489</v>
      </c>
      <c r="AB12" s="106">
        <f t="shared" si="10"/>
        <v>4178.141404095909</v>
      </c>
      <c r="AC12" s="288">
        <f t="shared" si="22"/>
        <v>49585.716313261255</v>
      </c>
      <c r="AD12" s="287">
        <f t="shared" si="11"/>
        <v>176.63182911399556</v>
      </c>
      <c r="AE12" s="106">
        <f t="shared" si="12"/>
        <v>365.97939478810264</v>
      </c>
      <c r="AF12" s="99">
        <f t="shared" si="13"/>
        <v>484.27679585503245</v>
      </c>
      <c r="AG12" s="99">
        <f t="shared" si="14"/>
        <v>719.4769167164548</v>
      </c>
      <c r="AH12" s="99">
        <f t="shared" si="23"/>
        <v>378.92710242325444</v>
      </c>
      <c r="AI12" s="99">
        <f t="shared" si="24"/>
        <v>432.86527247535236</v>
      </c>
      <c r="AJ12" s="99">
        <f t="shared" si="15"/>
        <v>415.7055939084562</v>
      </c>
      <c r="AK12" s="102"/>
      <c r="AL12" s="99">
        <f t="shared" si="16"/>
        <v>377.793608993539</v>
      </c>
      <c r="AM12" s="99">
        <f t="shared" si="17"/>
        <v>873.3943352375768</v>
      </c>
      <c r="AN12" s="99">
        <f t="shared" si="18"/>
        <v>799.5243454565597</v>
      </c>
      <c r="AO12" s="102">
        <f t="shared" si="19"/>
        <v>501.9294201678769</v>
      </c>
      <c r="AP12" s="288">
        <f t="shared" si="25"/>
        <v>5526.504615136201</v>
      </c>
      <c r="AQ12" s="300"/>
      <c r="AR12" s="99"/>
      <c r="AS12" s="115">
        <f t="shared" si="26"/>
        <v>174477.81092839743</v>
      </c>
    </row>
    <row r="13" spans="1:45" ht="12" customHeight="1">
      <c r="A13" s="8">
        <v>8</v>
      </c>
      <c r="B13" s="9" t="s">
        <v>30</v>
      </c>
      <c r="C13" s="293">
        <v>2787.1</v>
      </c>
      <c r="D13" s="296"/>
      <c r="E13" s="99"/>
      <c r="F13" s="99"/>
      <c r="G13" s="99"/>
      <c r="H13" s="99"/>
      <c r="I13" s="99"/>
      <c r="J13" s="99">
        <f>42180.39</f>
        <v>42180.39</v>
      </c>
      <c r="K13" s="99">
        <f>604.55+94539.72</f>
        <v>95144.27</v>
      </c>
      <c r="L13" s="99">
        <f>21781.81</f>
        <v>21781.81</v>
      </c>
      <c r="M13" s="99"/>
      <c r="N13" s="99"/>
      <c r="O13" s="99"/>
      <c r="P13" s="118">
        <f t="shared" si="20"/>
        <v>159106.47</v>
      </c>
      <c r="Q13" s="287">
        <f t="shared" si="0"/>
        <v>9348.4803835154</v>
      </c>
      <c r="R13" s="99">
        <f t="shared" si="1"/>
        <v>9326.173970322256</v>
      </c>
      <c r="S13" s="99">
        <f t="shared" si="2"/>
        <v>8885.342895330417</v>
      </c>
      <c r="T13" s="99">
        <f t="shared" si="3"/>
        <v>9313.910324290955</v>
      </c>
      <c r="U13" s="99">
        <f t="shared" si="4"/>
        <v>9376.031987716677</v>
      </c>
      <c r="V13" s="99">
        <f t="shared" si="5"/>
        <v>9439.383826128125</v>
      </c>
      <c r="W13" s="99">
        <f t="shared" si="6"/>
        <v>9445.127773700933</v>
      </c>
      <c r="X13" s="99">
        <f t="shared" si="7"/>
        <v>9445.127746010603</v>
      </c>
      <c r="Y13" s="99">
        <f t="shared" si="8"/>
        <v>9178.76015285579</v>
      </c>
      <c r="Z13" s="99">
        <f t="shared" si="9"/>
        <v>9445.127637617084</v>
      </c>
      <c r="AA13" s="106">
        <f t="shared" si="21"/>
        <v>9445.127697300257</v>
      </c>
      <c r="AB13" s="106">
        <f t="shared" si="10"/>
        <v>9445.127672443596</v>
      </c>
      <c r="AC13" s="288">
        <f t="shared" si="22"/>
        <v>112093.7220672321</v>
      </c>
      <c r="AD13" s="287">
        <f t="shared" si="11"/>
        <v>399.29480973608315</v>
      </c>
      <c r="AE13" s="106">
        <f t="shared" si="12"/>
        <v>827.3348781035938</v>
      </c>
      <c r="AF13" s="99">
        <f t="shared" si="13"/>
        <v>1094.7585836057756</v>
      </c>
      <c r="AG13" s="99">
        <f t="shared" si="14"/>
        <v>1626.4531710442297</v>
      </c>
      <c r="AH13" s="99">
        <f t="shared" si="23"/>
        <v>856.604531725081</v>
      </c>
      <c r="AI13" s="99">
        <f t="shared" si="24"/>
        <v>978.5374328137354</v>
      </c>
      <c r="AJ13" s="99">
        <f t="shared" si="15"/>
        <v>939.7461763178345</v>
      </c>
      <c r="AK13" s="102"/>
      <c r="AL13" s="99">
        <f t="shared" si="16"/>
        <v>854.0421507225992</v>
      </c>
      <c r="AM13" s="99">
        <f t="shared" si="17"/>
        <v>1974.3996688625598</v>
      </c>
      <c r="AN13" s="99">
        <f t="shared" si="18"/>
        <v>1807.4087948917002</v>
      </c>
      <c r="AO13" s="102">
        <f t="shared" si="19"/>
        <v>1134.6641957578793</v>
      </c>
      <c r="AP13" s="288">
        <f t="shared" si="25"/>
        <v>12493.244393581072</v>
      </c>
      <c r="AQ13" s="300"/>
      <c r="AR13" s="99"/>
      <c r="AS13" s="115">
        <f t="shared" si="26"/>
        <v>283693.43646081316</v>
      </c>
    </row>
    <row r="14" spans="1:45" ht="12" customHeight="1">
      <c r="A14" s="24">
        <v>9</v>
      </c>
      <c r="B14" s="9" t="s">
        <v>37</v>
      </c>
      <c r="C14" s="293">
        <v>367.33</v>
      </c>
      <c r="D14" s="296"/>
      <c r="E14" s="99"/>
      <c r="F14" s="99"/>
      <c r="G14" s="99"/>
      <c r="H14" s="99"/>
      <c r="I14" s="99"/>
      <c r="J14" s="297"/>
      <c r="K14" s="99">
        <f>604.55</f>
        <v>604.55</v>
      </c>
      <c r="L14" s="99">
        <f>17427.7+2874.69</f>
        <v>20302.39</v>
      </c>
      <c r="M14" s="99"/>
      <c r="N14" s="99"/>
      <c r="O14" s="99"/>
      <c r="P14" s="118">
        <f t="shared" si="20"/>
        <v>20906.94</v>
      </c>
      <c r="Q14" s="287">
        <f t="shared" si="0"/>
        <v>1232.0969105079516</v>
      </c>
      <c r="R14" s="99">
        <f t="shared" si="1"/>
        <v>1229.157003522828</v>
      </c>
      <c r="S14" s="99">
        <f t="shared" si="2"/>
        <v>1171.0570147256008</v>
      </c>
      <c r="T14" s="99">
        <f t="shared" si="3"/>
        <v>1227.5406980093273</v>
      </c>
      <c r="U14" s="99">
        <f t="shared" si="4"/>
        <v>1235.7281152624473</v>
      </c>
      <c r="V14" s="99">
        <f t="shared" si="5"/>
        <v>1244.0776652619727</v>
      </c>
      <c r="W14" s="99">
        <f t="shared" si="6"/>
        <v>1244.8346973964206</v>
      </c>
      <c r="X14" s="99">
        <f t="shared" si="7"/>
        <v>1244.834693746932</v>
      </c>
      <c r="Y14" s="99">
        <f t="shared" si="8"/>
        <v>1209.7283796593294</v>
      </c>
      <c r="Z14" s="99">
        <f t="shared" si="9"/>
        <v>1244.8346794610466</v>
      </c>
      <c r="AA14" s="106">
        <f t="shared" si="21"/>
        <v>1244.8346873270796</v>
      </c>
      <c r="AB14" s="106">
        <f t="shared" si="10"/>
        <v>1244.8346840510587</v>
      </c>
      <c r="AC14" s="288">
        <f t="shared" si="22"/>
        <v>14773.559228931994</v>
      </c>
      <c r="AD14" s="287">
        <f t="shared" si="11"/>
        <v>52.62565478825856</v>
      </c>
      <c r="AE14" s="106">
        <f t="shared" si="12"/>
        <v>109.03983379634498</v>
      </c>
      <c r="AF14" s="99">
        <f t="shared" si="13"/>
        <v>144.28533978540761</v>
      </c>
      <c r="AG14" s="99">
        <f t="shared" si="14"/>
        <v>214.36082068087862</v>
      </c>
      <c r="AH14" s="99">
        <f t="shared" si="23"/>
        <v>112.89747143574827</v>
      </c>
      <c r="AI14" s="99">
        <f t="shared" si="24"/>
        <v>128.9677999337912</v>
      </c>
      <c r="AJ14" s="99">
        <f t="shared" si="15"/>
        <v>123.8552484470705</v>
      </c>
      <c r="AK14" s="102"/>
      <c r="AL14" s="99">
        <f t="shared" si="16"/>
        <v>112.55975861107687</v>
      </c>
      <c r="AM14" s="99">
        <f t="shared" si="17"/>
        <v>260.2189481408217</v>
      </c>
      <c r="AN14" s="99">
        <f t="shared" si="18"/>
        <v>238.21013692639957</v>
      </c>
      <c r="AO14" s="102">
        <f t="shared" si="19"/>
        <v>149.54475943731543</v>
      </c>
      <c r="AP14" s="288">
        <f t="shared" si="25"/>
        <v>1646.5657719831133</v>
      </c>
      <c r="AQ14" s="300"/>
      <c r="AR14" s="99"/>
      <c r="AS14" s="115">
        <f t="shared" si="26"/>
        <v>37327.06500091511</v>
      </c>
    </row>
    <row r="15" spans="1:45" ht="11.25" customHeight="1">
      <c r="A15" s="8">
        <v>10</v>
      </c>
      <c r="B15" s="7" t="s">
        <v>31</v>
      </c>
      <c r="C15" s="293">
        <v>2258.4</v>
      </c>
      <c r="D15" s="296"/>
      <c r="E15" s="99"/>
      <c r="F15" s="99"/>
      <c r="G15" s="99"/>
      <c r="H15" s="99"/>
      <c r="I15" s="99"/>
      <c r="J15" s="99">
        <f>29786.54</f>
        <v>29786.54</v>
      </c>
      <c r="K15" s="99">
        <f>604.55+13926.29</f>
        <v>14530.84</v>
      </c>
      <c r="L15" s="99">
        <f>17700.61</f>
        <v>17700.61</v>
      </c>
      <c r="M15" s="99">
        <f>80600</f>
        <v>80600</v>
      </c>
      <c r="N15" s="99"/>
      <c r="O15" s="99"/>
      <c r="P15" s="118">
        <f t="shared" si="20"/>
        <v>142617.99</v>
      </c>
      <c r="Q15" s="287">
        <f t="shared" si="0"/>
        <v>7575.116823268337</v>
      </c>
      <c r="R15" s="99">
        <f t="shared" si="1"/>
        <v>7557.04183365354</v>
      </c>
      <c r="S15" s="99">
        <f t="shared" si="2"/>
        <v>7199.834377960681</v>
      </c>
      <c r="T15" s="99">
        <f t="shared" si="3"/>
        <v>7547.104544644503</v>
      </c>
      <c r="U15" s="99">
        <f t="shared" si="4"/>
        <v>7597.442015377756</v>
      </c>
      <c r="V15" s="99">
        <f t="shared" si="5"/>
        <v>7648.776302582526</v>
      </c>
      <c r="W15" s="99">
        <f t="shared" si="6"/>
        <v>7653.430649824617</v>
      </c>
      <c r="X15" s="99">
        <f t="shared" si="7"/>
        <v>7653.430627387013</v>
      </c>
      <c r="Y15" s="99">
        <f t="shared" si="8"/>
        <v>7437.591736647238</v>
      </c>
      <c r="Z15" s="99">
        <f t="shared" si="9"/>
        <v>7653.430539555246</v>
      </c>
      <c r="AA15" s="106">
        <f t="shared" si="21"/>
        <v>7653.430587916796</v>
      </c>
      <c r="AB15" s="106">
        <f t="shared" si="10"/>
        <v>7653.430567775327</v>
      </c>
      <c r="AC15" s="288">
        <f t="shared" si="22"/>
        <v>90830.06060659359</v>
      </c>
      <c r="AD15" s="287">
        <f t="shared" si="11"/>
        <v>323.5504281539845</v>
      </c>
      <c r="AE15" s="106">
        <f t="shared" si="12"/>
        <v>670.3932721140815</v>
      </c>
      <c r="AF15" s="99">
        <f t="shared" si="13"/>
        <v>887.0879355657437</v>
      </c>
      <c r="AG15" s="99">
        <f t="shared" si="14"/>
        <v>1317.9225149748083</v>
      </c>
      <c r="AH15" s="99">
        <f t="shared" si="23"/>
        <v>694.1106076021396</v>
      </c>
      <c r="AI15" s="99">
        <f t="shared" si="24"/>
        <v>792.913400404198</v>
      </c>
      <c r="AJ15" s="99">
        <f t="shared" si="15"/>
        <v>761.4806661390685</v>
      </c>
      <c r="AK15" s="102"/>
      <c r="AL15" s="99">
        <f t="shared" si="16"/>
        <v>692.0342984435141</v>
      </c>
      <c r="AM15" s="99">
        <f t="shared" si="17"/>
        <v>1599.8651688705845</v>
      </c>
      <c r="AN15" s="99">
        <f t="shared" si="18"/>
        <v>1464.551692577739</v>
      </c>
      <c r="AO15" s="102">
        <f t="shared" si="19"/>
        <v>919.4236373648578</v>
      </c>
      <c r="AP15" s="288">
        <f t="shared" si="25"/>
        <v>10123.33362221072</v>
      </c>
      <c r="AQ15" s="300"/>
      <c r="AR15" s="99"/>
      <c r="AS15" s="115">
        <f t="shared" si="26"/>
        <v>243571.3842288043</v>
      </c>
    </row>
    <row r="16" spans="1:45" ht="12" customHeight="1">
      <c r="A16" s="24">
        <v>11</v>
      </c>
      <c r="B16" s="9" t="s">
        <v>32</v>
      </c>
      <c r="C16" s="293">
        <v>4349.1</v>
      </c>
      <c r="D16" s="296"/>
      <c r="E16" s="99"/>
      <c r="F16" s="99">
        <v>23072.26</v>
      </c>
      <c r="G16" s="99"/>
      <c r="H16" s="99"/>
      <c r="I16" s="99"/>
      <c r="J16" s="99">
        <f>42180.39+120732+5965.1</f>
        <v>168877.49000000002</v>
      </c>
      <c r="K16" s="99">
        <f>604.55+13926.29+24390+26734</f>
        <v>65654.84</v>
      </c>
      <c r="L16" s="99">
        <f>34049.69</f>
        <v>34049.69</v>
      </c>
      <c r="M16" s="99">
        <f>17500+2000+53000+67800</f>
        <v>140300</v>
      </c>
      <c r="N16" s="99"/>
      <c r="O16" s="99"/>
      <c r="P16" s="118">
        <f t="shared" si="20"/>
        <v>431954.28</v>
      </c>
      <c r="Q16" s="287">
        <f t="shared" si="0"/>
        <v>14587.734934500675</v>
      </c>
      <c r="R16" s="99">
        <f t="shared" si="1"/>
        <v>14552.92713369758</v>
      </c>
      <c r="S16" s="99">
        <f t="shared" si="2"/>
        <v>13865.037058620615</v>
      </c>
      <c r="T16" s="99">
        <f t="shared" si="3"/>
        <v>14533.790460110436</v>
      </c>
      <c r="U16" s="99">
        <f t="shared" si="4"/>
        <v>14630.72753678684</v>
      </c>
      <c r="V16" s="99">
        <f t="shared" si="5"/>
        <v>14729.5842266922</v>
      </c>
      <c r="W16" s="99">
        <f t="shared" si="6"/>
        <v>14738.547307453171</v>
      </c>
      <c r="X16" s="99">
        <f t="shared" si="7"/>
        <v>14738.547264244095</v>
      </c>
      <c r="Y16" s="99">
        <f t="shared" si="8"/>
        <v>14322.896839289986</v>
      </c>
      <c r="Z16" s="99">
        <f t="shared" si="9"/>
        <v>14738.547095102604</v>
      </c>
      <c r="AA16" s="106">
        <f t="shared" si="21"/>
        <v>14738.547188234563</v>
      </c>
      <c r="AB16" s="106">
        <f t="shared" si="10"/>
        <v>14738.547149447255</v>
      </c>
      <c r="AC16" s="288">
        <f t="shared" si="22"/>
        <v>174915.43419418004</v>
      </c>
      <c r="AD16" s="287">
        <f t="shared" si="11"/>
        <v>623.0752599559397</v>
      </c>
      <c r="AE16" s="106">
        <f t="shared" si="12"/>
        <v>1291.0057473217107</v>
      </c>
      <c r="AF16" s="99">
        <f t="shared" si="13"/>
        <v>1708.3041713465177</v>
      </c>
      <c r="AG16" s="99">
        <f t="shared" si="14"/>
        <v>2537.9812300198987</v>
      </c>
      <c r="AH16" s="99">
        <f t="shared" si="23"/>
        <v>1336.679261212569</v>
      </c>
      <c r="AI16" s="99">
        <f t="shared" si="24"/>
        <v>1526.94813571462</v>
      </c>
      <c r="AJ16" s="99">
        <f t="shared" si="15"/>
        <v>1466.4167397739209</v>
      </c>
      <c r="AK16" s="102"/>
      <c r="AL16" s="99">
        <f t="shared" si="16"/>
        <v>1332.680821537676</v>
      </c>
      <c r="AM16" s="99">
        <f t="shared" si="17"/>
        <v>3080.9305729432604</v>
      </c>
      <c r="AN16" s="99">
        <f t="shared" si="18"/>
        <v>2820.351472808114</v>
      </c>
      <c r="AO16" s="102">
        <f t="shared" si="19"/>
        <v>1770.574451498186</v>
      </c>
      <c r="AP16" s="288">
        <f t="shared" si="25"/>
        <v>19494.94786413241</v>
      </c>
      <c r="AQ16" s="300"/>
      <c r="AR16" s="99"/>
      <c r="AS16" s="115">
        <f t="shared" si="26"/>
        <v>626364.6620583124</v>
      </c>
    </row>
    <row r="17" spans="1:45" ht="12" customHeight="1" thickBot="1">
      <c r="A17" s="11">
        <v>11</v>
      </c>
      <c r="B17" s="12" t="s">
        <v>21</v>
      </c>
      <c r="C17" s="294">
        <f aca="true" t="shared" si="27" ref="C17:AS17">SUM(C6:C16)</f>
        <v>25668.950000000004</v>
      </c>
      <c r="D17" s="298">
        <f t="shared" si="27"/>
        <v>53516.47</v>
      </c>
      <c r="E17" s="289">
        <f t="shared" si="27"/>
        <v>0</v>
      </c>
      <c r="F17" s="289">
        <f t="shared" si="27"/>
        <v>37139.72</v>
      </c>
      <c r="G17" s="289">
        <f t="shared" si="27"/>
        <v>33444.94</v>
      </c>
      <c r="H17" s="289">
        <f t="shared" si="27"/>
        <v>19200</v>
      </c>
      <c r="I17" s="289">
        <f>SUM(I6:I16)</f>
        <v>0</v>
      </c>
      <c r="J17" s="289">
        <f t="shared" si="27"/>
        <v>576153.4500000001</v>
      </c>
      <c r="K17" s="289">
        <f t="shared" si="27"/>
        <v>335052.65</v>
      </c>
      <c r="L17" s="289">
        <f t="shared" si="27"/>
        <v>450744.72</v>
      </c>
      <c r="M17" s="289">
        <f t="shared" si="27"/>
        <v>408661.14</v>
      </c>
      <c r="N17" s="289">
        <f t="shared" si="27"/>
        <v>8587.12</v>
      </c>
      <c r="O17" s="289">
        <f t="shared" si="27"/>
        <v>31765.28</v>
      </c>
      <c r="P17" s="290">
        <f t="shared" si="27"/>
        <v>1954265.49</v>
      </c>
      <c r="Q17" s="116">
        <f t="shared" si="27"/>
        <v>86098.69597087929</v>
      </c>
      <c r="R17" s="289">
        <f t="shared" si="27"/>
        <v>85893.25583420167</v>
      </c>
      <c r="S17" s="289">
        <f t="shared" si="27"/>
        <v>81833.23975210494</v>
      </c>
      <c r="T17" s="289">
        <f t="shared" si="27"/>
        <v>85780.30871468851</v>
      </c>
      <c r="U17" s="289">
        <f t="shared" si="27"/>
        <v>86352.44386319113</v>
      </c>
      <c r="V17" s="289">
        <f t="shared" si="27"/>
        <v>86935.90881693929</v>
      </c>
      <c r="W17" s="289">
        <f t="shared" si="27"/>
        <v>86988.81007740683</v>
      </c>
      <c r="X17" s="289">
        <f t="shared" si="27"/>
        <v>86988.8098223813</v>
      </c>
      <c r="Y17" s="289">
        <f t="shared" si="27"/>
        <v>84535.58732217991</v>
      </c>
      <c r="Z17" s="289">
        <f t="shared" si="27"/>
        <v>86988.80882408636</v>
      </c>
      <c r="AA17" s="289">
        <f t="shared" si="27"/>
        <v>86988.8093737632</v>
      </c>
      <c r="AB17" s="289">
        <f t="shared" si="27"/>
        <v>86988.8091448355</v>
      </c>
      <c r="AC17" s="290">
        <f t="shared" si="27"/>
        <v>1032373.4875166581</v>
      </c>
      <c r="AD17" s="116">
        <f t="shared" si="27"/>
        <v>3677.4706707240616</v>
      </c>
      <c r="AE17" s="289">
        <f t="shared" si="27"/>
        <v>7619.6826878465945</v>
      </c>
      <c r="AF17" s="289">
        <f t="shared" si="27"/>
        <v>10082.6318914454</v>
      </c>
      <c r="AG17" s="289">
        <f t="shared" si="27"/>
        <v>14979.49306622503</v>
      </c>
      <c r="AH17" s="289">
        <f t="shared" si="27"/>
        <v>7889.253666759184</v>
      </c>
      <c r="AI17" s="289">
        <f t="shared" si="27"/>
        <v>9012.245142271227</v>
      </c>
      <c r="AJ17" s="289">
        <f t="shared" si="27"/>
        <v>8654.981024216453</v>
      </c>
      <c r="AK17" s="289">
        <f t="shared" si="27"/>
        <v>0</v>
      </c>
      <c r="AL17" s="289">
        <f t="shared" si="27"/>
        <v>7865.654359294917</v>
      </c>
      <c r="AM17" s="289">
        <f t="shared" si="27"/>
        <v>18184.050224265226</v>
      </c>
      <c r="AN17" s="289">
        <f>SUM(AN6:AN16)</f>
        <v>16646.078714662308</v>
      </c>
      <c r="AO17" s="289">
        <f t="shared" si="27"/>
        <v>10450.159128735682</v>
      </c>
      <c r="AP17" s="290">
        <f t="shared" si="27"/>
        <v>115061.70057644608</v>
      </c>
      <c r="AQ17" s="284">
        <f t="shared" si="27"/>
        <v>0</v>
      </c>
      <c r="AR17" s="103">
        <f t="shared" si="27"/>
        <v>0</v>
      </c>
      <c r="AS17" s="103">
        <f t="shared" si="27"/>
        <v>3101700.6780931037</v>
      </c>
    </row>
    <row r="18" spans="4:16" ht="12.75"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12.75">
      <c r="A19" s="46" t="s">
        <v>66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12.75">
      <c r="A20" s="46" t="s">
        <v>67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ht="12.75">
      <c r="A21" s="46" t="s">
        <v>68</v>
      </c>
    </row>
    <row r="22" ht="12.75">
      <c r="A22" s="46" t="s">
        <v>69</v>
      </c>
    </row>
    <row r="23" ht="12.75">
      <c r="A23" s="46" t="s">
        <v>70</v>
      </c>
    </row>
    <row r="24" ht="12.75">
      <c r="A24" s="46"/>
    </row>
    <row r="25" ht="12.75">
      <c r="A25" s="46" t="s">
        <v>71</v>
      </c>
    </row>
    <row r="26" ht="12.75">
      <c r="A26" s="46" t="s">
        <v>72</v>
      </c>
    </row>
    <row r="27" ht="12.75">
      <c r="A27" s="46" t="s">
        <v>73</v>
      </c>
    </row>
    <row r="28" ht="12.75">
      <c r="A28" s="46" t="s">
        <v>74</v>
      </c>
    </row>
    <row r="29" ht="12.75">
      <c r="A29" s="46"/>
    </row>
    <row r="30" ht="12.75">
      <c r="A30" s="46" t="s">
        <v>75</v>
      </c>
    </row>
  </sheetData>
  <sheetProtection/>
  <autoFilter ref="A1:I17"/>
  <mergeCells count="5">
    <mergeCell ref="A2:AS2"/>
    <mergeCell ref="Q4:AC4"/>
    <mergeCell ref="AD4:AP4"/>
    <mergeCell ref="A3:I3"/>
    <mergeCell ref="D4:P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2018-02-09T04:13:05Z</cp:lastPrinted>
  <dcterms:created xsi:type="dcterms:W3CDTF">1996-10-08T23:32:33Z</dcterms:created>
  <dcterms:modified xsi:type="dcterms:W3CDTF">2019-01-16T06:02:11Z</dcterms:modified>
  <cp:category/>
  <cp:version/>
  <cp:contentType/>
  <cp:contentStatus/>
</cp:coreProperties>
</file>