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4" firstSheet="1" activeTab="12"/>
  </bookViews>
  <sheets>
    <sheet name="142 электрика" sheetId="1" r:id="rId1"/>
    <sheet name="53 электрика" sheetId="2" r:id="rId2"/>
    <sheet name="130 электрика" sheetId="3" r:id="rId3"/>
    <sheet name="В электрика" sheetId="4" r:id="rId4"/>
    <sheet name="62 электрика" sheetId="5" r:id="rId5"/>
    <sheet name="61 электрика" sheetId="6" r:id="rId6"/>
    <sheet name="60 электрика" sheetId="7" r:id="rId7"/>
    <sheet name="59 электрика" sheetId="8" r:id="rId8"/>
    <sheet name="Авт.окр. электрика" sheetId="9" r:id="rId9"/>
    <sheet name="125 электрика" sheetId="10" r:id="rId10"/>
    <sheet name="141 электрика" sheetId="11" r:id="rId11"/>
    <sheet name="202 электрика" sheetId="12" r:id="rId12"/>
    <sheet name="строит" sheetId="13" r:id="rId13"/>
    <sheet name="пром" sheetId="14" r:id="rId14"/>
    <sheet name="140 электрика" sheetId="15" r:id="rId15"/>
  </sheets>
  <definedNames>
    <definedName name="_xlnm._FilterDatabase" localSheetId="9" hidden="1">'125 электрика'!$A$1:$I$5</definedName>
    <definedName name="_xlnm._FilterDatabase" localSheetId="2" hidden="1">'130 электрика'!$A$1:$I$5</definedName>
    <definedName name="_xlnm._FilterDatabase" localSheetId="14" hidden="1">'140 электрика'!$A$1:$I$20</definedName>
    <definedName name="_xlnm._FilterDatabase" localSheetId="10" hidden="1">'141 электрика'!$A$1:$I$5</definedName>
    <definedName name="_xlnm._FilterDatabase" localSheetId="0" hidden="1">'142 электрика'!$A$1:$I$5</definedName>
    <definedName name="_xlnm._FilterDatabase" localSheetId="11" hidden="1">'202 электрика'!$A$1:$I$5</definedName>
    <definedName name="_xlnm._FilterDatabase" localSheetId="1" hidden="1">'53 электрика'!$A$1:$I$5</definedName>
    <definedName name="_xlnm._FilterDatabase" localSheetId="7" hidden="1">'59 электрика'!$A$1:$I$5</definedName>
    <definedName name="_xlnm._FilterDatabase" localSheetId="6" hidden="1">'60 электрика'!$A$1:$I$5</definedName>
    <definedName name="_xlnm._FilterDatabase" localSheetId="5" hidden="1">'61 электрика'!$A$1:$I$5</definedName>
    <definedName name="_xlnm._FilterDatabase" localSheetId="4" hidden="1">'62 электрика'!$A$1:$I$5</definedName>
    <definedName name="_xlnm._FilterDatabase" localSheetId="8" hidden="1">'Авт.окр. электрика'!$A$1:$I$5</definedName>
    <definedName name="_xlnm._FilterDatabase" localSheetId="3" hidden="1">'В электрика'!$A$1:$I$5</definedName>
    <definedName name="_xlnm.Print_Area" localSheetId="9">'125 электрика'!$A$2:$AQ$17</definedName>
    <definedName name="_xlnm.Print_Area" localSheetId="2">'130 электрика'!$A$2:$AQ$28</definedName>
    <definedName name="_xlnm.Print_Area" localSheetId="14">'140 электрика'!$A$1:$AQ$48</definedName>
    <definedName name="_xlnm.Print_Area" localSheetId="10">'141 электрика'!$A$2:$AQ$30</definedName>
    <definedName name="_xlnm.Print_Area" localSheetId="0">'142 электрика'!$A$2:$AQ$29</definedName>
    <definedName name="_xlnm.Print_Area" localSheetId="11">'202 электрика'!$A$2:$AQ$69</definedName>
    <definedName name="_xlnm.Print_Area" localSheetId="1">'53 электрика'!$A$2:$AQ$62</definedName>
    <definedName name="_xlnm.Print_Area" localSheetId="7">'59 электрика'!$A$2:$AQ$65269</definedName>
    <definedName name="_xlnm.Print_Area" localSheetId="6">'60 электрика'!$A$2:$AQ$23</definedName>
    <definedName name="_xlnm.Print_Area" localSheetId="5">'61 электрика'!$A$2:$AQ$18</definedName>
    <definedName name="_xlnm.Print_Area" localSheetId="4">'62 электрика'!$A$2:$AQ$13</definedName>
    <definedName name="_xlnm.Print_Area" localSheetId="8">'Авт.окр. электрика'!$A$2:$AQ$28</definedName>
    <definedName name="_xlnm.Print_Area" localSheetId="3">'В электрика'!$A$2:$AQ$33</definedName>
    <definedName name="_xlnm.Print_Area" localSheetId="13">'пром'!$A$2:$AQ$14</definedName>
    <definedName name="_xlnm.Print_Area" localSheetId="12">'строит'!$A$2:$AQ$11</definedName>
  </definedNames>
  <calcPr fullCalcOnLoad="1"/>
</workbook>
</file>

<file path=xl/sharedStrings.xml><?xml version="1.0" encoding="utf-8"?>
<sst xmlns="http://schemas.openxmlformats.org/spreadsheetml/2006/main" count="1333" uniqueCount="375">
  <si>
    <t>№</t>
  </si>
  <si>
    <t xml:space="preserve">Адрес дома </t>
  </si>
  <si>
    <t>Общая площадь,кв.м.</t>
  </si>
  <si>
    <t>Итого:</t>
  </si>
  <si>
    <t>Квартал 125</t>
  </si>
  <si>
    <t>Ленина 6</t>
  </si>
  <si>
    <t>Чиряева 6</t>
  </si>
  <si>
    <t>Чиряева 8</t>
  </si>
  <si>
    <t>Квартал 140</t>
  </si>
  <si>
    <t>Дзержинского 20/1</t>
  </si>
  <si>
    <t>Дзержинского 20/2</t>
  </si>
  <si>
    <t>Дзержинского 20/3</t>
  </si>
  <si>
    <t>Дзержинского 22</t>
  </si>
  <si>
    <t>Дзержинского 22/1</t>
  </si>
  <si>
    <t>Дзержинского 22/2</t>
  </si>
  <si>
    <t>Дзержинского 22/3</t>
  </si>
  <si>
    <t>Дзержинского 22/4</t>
  </si>
  <si>
    <t>Дзержинского 22/5</t>
  </si>
  <si>
    <t>Дзержинского 22/6</t>
  </si>
  <si>
    <t>Дзержинского 26</t>
  </si>
  <si>
    <t>Дзержинского 26/1</t>
  </si>
  <si>
    <t>Итого</t>
  </si>
  <si>
    <t>Квартал 141</t>
  </si>
  <si>
    <t>Богатырева 11</t>
  </si>
  <si>
    <t>Богатырева 11/1</t>
  </si>
  <si>
    <t>Богатырева 11/3</t>
  </si>
  <si>
    <t>Дзержинского 12/1</t>
  </si>
  <si>
    <t>Дзержинского 14/1</t>
  </si>
  <si>
    <t>Дзержинского 14/2</t>
  </si>
  <si>
    <t>Дзержинского 16</t>
  </si>
  <si>
    <t>Дзержинского 8</t>
  </si>
  <si>
    <t>Чиряева 1</t>
  </si>
  <si>
    <t>Чиряева 1/1</t>
  </si>
  <si>
    <t>Приипподромный</t>
  </si>
  <si>
    <t>Сергеляхское шоссе 1</t>
  </si>
  <si>
    <t>Чернышевского 118</t>
  </si>
  <si>
    <t>Чернышевского 118/1</t>
  </si>
  <si>
    <t>Дзержинского 8/1</t>
  </si>
  <si>
    <t>Текущий ремонт</t>
  </si>
  <si>
    <t>АЗР</t>
  </si>
  <si>
    <t>Профилактический ремонт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</si>
  <si>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</si>
  <si>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</si>
  <si>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</si>
  <si>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</si>
  <si>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</si>
  <si>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</si>
  <si>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</si>
  <si>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</si>
  <si>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</si>
  <si>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</si>
  <si>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</si>
  <si>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</si>
  <si>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</si>
  <si>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</si>
  <si>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Квартал 202</t>
  </si>
  <si>
    <t>М-Н 202,  1</t>
  </si>
  <si>
    <t>М-Н 202,  3</t>
  </si>
  <si>
    <t>М-Н 202,  4</t>
  </si>
  <si>
    <t>М-Н 202,  5</t>
  </si>
  <si>
    <t>М-Н 202,  6</t>
  </si>
  <si>
    <t>М-Н 202,  7</t>
  </si>
  <si>
    <t>М-Н 202,  8</t>
  </si>
  <si>
    <t>М-Н 202,  10</t>
  </si>
  <si>
    <t>М-Н 202,  11</t>
  </si>
  <si>
    <t>М-Н 202,  12</t>
  </si>
  <si>
    <t>М-Н 202,  13</t>
  </si>
  <si>
    <t>М-Н 202,  14/1</t>
  </si>
  <si>
    <t>М-Н 202,  14/2</t>
  </si>
  <si>
    <t>М-Н 202,  15</t>
  </si>
  <si>
    <t>М-Н 202,  17</t>
  </si>
  <si>
    <t>М-Н 202,  18</t>
  </si>
  <si>
    <t>М-Н 202,  16/1</t>
  </si>
  <si>
    <t>М-Н 202,  16/2</t>
  </si>
  <si>
    <t>М-Н 202,  18/1</t>
  </si>
  <si>
    <t>М-Н 202,  19</t>
  </si>
  <si>
    <t>М-Н 202,  25</t>
  </si>
  <si>
    <t>М-Н 202,  25/1</t>
  </si>
  <si>
    <t>М-Н 202,  25/2</t>
  </si>
  <si>
    <t>Квартал 59</t>
  </si>
  <si>
    <t xml:space="preserve">ферваль </t>
  </si>
  <si>
    <t>Ленина 34</t>
  </si>
  <si>
    <t>Ленина 36</t>
  </si>
  <si>
    <t>Ленина 38</t>
  </si>
  <si>
    <t>Орджоникидзе 33</t>
  </si>
  <si>
    <t>Орджоникидзе 35</t>
  </si>
  <si>
    <t>Орджоникидзе 37</t>
  </si>
  <si>
    <t>Орджоникидзе 39</t>
  </si>
  <si>
    <t>Орджоникидзе 45</t>
  </si>
  <si>
    <t>Орджоникидзе 45/1</t>
  </si>
  <si>
    <t>Квартал 60</t>
  </si>
  <si>
    <t>Ленина 23</t>
  </si>
  <si>
    <t>Ленина 25</t>
  </si>
  <si>
    <t>Ленина 29</t>
  </si>
  <si>
    <t>Ленина 27/1</t>
  </si>
  <si>
    <t>Ярославского 24</t>
  </si>
  <si>
    <t>Ярославского 28</t>
  </si>
  <si>
    <t>Квартал 61</t>
  </si>
  <si>
    <t>Ленина 35</t>
  </si>
  <si>
    <t>Ленина 37</t>
  </si>
  <si>
    <t>Ярославского 30/1</t>
  </si>
  <si>
    <t>Ярославского 30/2</t>
  </si>
  <si>
    <t>Квартал 62</t>
  </si>
  <si>
    <t>Ленина 42</t>
  </si>
  <si>
    <t>Ленина 44</t>
  </si>
  <si>
    <t>Октябрьская 5</t>
  </si>
  <si>
    <t>Квартал В</t>
  </si>
  <si>
    <t>Кирова 7/2</t>
  </si>
  <si>
    <t>Кирова 7/3</t>
  </si>
  <si>
    <t>Кирова 7/4</t>
  </si>
  <si>
    <t>Кулаковского 4/1</t>
  </si>
  <si>
    <t>Кулаковского 4/2</t>
  </si>
  <si>
    <t>Кулаковского 4/3</t>
  </si>
  <si>
    <t>Кулаковского 12</t>
  </si>
  <si>
    <t>Чернышевского 22/1</t>
  </si>
  <si>
    <t>Чернышевского 22/2</t>
  </si>
  <si>
    <t>Ярославского 32</t>
  </si>
  <si>
    <t>Ярославского 35</t>
  </si>
  <si>
    <t>Ярославского 39</t>
  </si>
  <si>
    <t>Ярославского 39/1</t>
  </si>
  <si>
    <t>Ярославского 41</t>
  </si>
  <si>
    <t>Квартал 130</t>
  </si>
  <si>
    <t>Лермонтова 35/1</t>
  </si>
  <si>
    <t>Лермонтова 35/2</t>
  </si>
  <si>
    <t>Лермонтова 35/3</t>
  </si>
  <si>
    <t>Лермонтова 58/2</t>
  </si>
  <si>
    <t>П Алексеева 21</t>
  </si>
  <si>
    <t>П Алексеева 21/1</t>
  </si>
  <si>
    <t>П Алексеева 21/2</t>
  </si>
  <si>
    <t>П Алексеева 21/3</t>
  </si>
  <si>
    <t>П Алексеева 21/4</t>
  </si>
  <si>
    <t>П Алексеева 27/1</t>
  </si>
  <si>
    <t>Квартал 53</t>
  </si>
  <si>
    <t>Богатырева 5</t>
  </si>
  <si>
    <t>Богатырева 7</t>
  </si>
  <si>
    <t>Губина 15</t>
  </si>
  <si>
    <t>Губина 17</t>
  </si>
  <si>
    <t>Губина 19</t>
  </si>
  <si>
    <t>Губина 25</t>
  </si>
  <si>
    <t>Губина 25/1</t>
  </si>
  <si>
    <t>Губина 27</t>
  </si>
  <si>
    <t>Губина 33</t>
  </si>
  <si>
    <t>Губина 35</t>
  </si>
  <si>
    <t>Губина 35/1</t>
  </si>
  <si>
    <t>Губина 37</t>
  </si>
  <si>
    <t>Хабарова 17/1</t>
  </si>
  <si>
    <t>Хабарова 17/3</t>
  </si>
  <si>
    <t>Хабарова 19</t>
  </si>
  <si>
    <t>Хабарова 19/1</t>
  </si>
  <si>
    <t>Хабарова 19/3</t>
  </si>
  <si>
    <t>Хабарова 21</t>
  </si>
  <si>
    <t>Хабарова 23</t>
  </si>
  <si>
    <t>Хабарова 23/1</t>
  </si>
  <si>
    <t>Хабарова 25/1</t>
  </si>
  <si>
    <t>Хабарова 27/1</t>
  </si>
  <si>
    <t>Хабарова 27/3</t>
  </si>
  <si>
    <t>Хабарова 27/4</t>
  </si>
  <si>
    <t>Чиряева 5</t>
  </si>
  <si>
    <t>Квартал 142</t>
  </si>
  <si>
    <t>Б. Марлинского 1/1</t>
  </si>
  <si>
    <t>Б. Марлинского 3/1</t>
  </si>
  <si>
    <t>Б. Марлинского 10</t>
  </si>
  <si>
    <t>Богатырева 4/1</t>
  </si>
  <si>
    <t>Губина 1/1</t>
  </si>
  <si>
    <t>Северная 6</t>
  </si>
  <si>
    <t>Северная 7</t>
  </si>
  <si>
    <t>Ф Попова 17/1</t>
  </si>
  <si>
    <t>Ф Попова 17/2</t>
  </si>
  <si>
    <t>Ф Попова 19/2</t>
  </si>
  <si>
    <t>Чернышевского 118/3</t>
  </si>
  <si>
    <t>Покровский 4 км 1</t>
  </si>
  <si>
    <t>Покровский 4 км 2</t>
  </si>
  <si>
    <t>Дзержинского 7</t>
  </si>
  <si>
    <t>Дзержинского 7/1</t>
  </si>
  <si>
    <t>Квартал 33</t>
  </si>
  <si>
    <t>Ф.-Попова 14/4</t>
  </si>
  <si>
    <t>Квартал 51</t>
  </si>
  <si>
    <t>Дзержинского 26/2</t>
  </si>
  <si>
    <t>Б.-Марлинского 22/2</t>
  </si>
  <si>
    <t>Пояркова 6</t>
  </si>
  <si>
    <t>Сергеляхское шоссе 1/1</t>
  </si>
  <si>
    <t>Ленина 6/1</t>
  </si>
  <si>
    <t>Чиряева 5, э/у</t>
  </si>
  <si>
    <t>Выполнение по техническому обслуживанию электрооборудования за 2017 год</t>
  </si>
  <si>
    <t>Выполнение по техническому обслуживанию электрооборудования за 2018 год</t>
  </si>
  <si>
    <t>монтаж светильника - 1шт, лампа ЛЕД - 1шт, выключатель - 1шт</t>
  </si>
  <si>
    <t>монтаж светильника - 1шт, лампа  ЛЕД - 1шт</t>
  </si>
  <si>
    <t>монтаж светильника - 1шт, лампа ЛЕД -  1шт</t>
  </si>
  <si>
    <t>монтаж светильника - 5шт, лампа ЛЕД - 5шт</t>
  </si>
  <si>
    <t>Б.Марлинского 22/2</t>
  </si>
  <si>
    <t>монтаж светильника - 1шт, лампа ЛЕД - 1шт, светильника с оптико-акустическим датчиком - 1шт</t>
  </si>
  <si>
    <t>19 корпус</t>
  </si>
  <si>
    <t>монтаж светильника - 1шт, лампа ЛЕД - 1шт</t>
  </si>
  <si>
    <t>монтаж выключателя: кабель канал 16х16-1 шт, провод АВВГ 2х2,5-2 м, выключатель-2 шт</t>
  </si>
  <si>
    <t>монтаж: автомат 40А-30 шт, автомат 25А-10 шт, светильник-1 шт, лампа лед-1 шт</t>
  </si>
  <si>
    <t>13 корпус</t>
  </si>
  <si>
    <t>монтаж: светильник-1 шт, лампа лед-1 шт, ремонт силового предохран шкафа-1 шт</t>
  </si>
  <si>
    <t>ремонт силового предохранительного шкафа-1шт, плавкая вставка-4 шт</t>
  </si>
  <si>
    <t>монтаж светильника светодиодного - 1шт</t>
  </si>
  <si>
    <t>замена трансформатора тока и счетчика: счетчик эл.эн.-1 шт, трансформатор тока-3 шт</t>
  </si>
  <si>
    <t>замена светильника светодиодный-46 шт, светильник-4 шт, лампа лед-4 шт</t>
  </si>
  <si>
    <t>замена светильника люмин.антивандальный-5 шт, лампа-11 шт</t>
  </si>
  <si>
    <t>12 корпус</t>
  </si>
  <si>
    <t>замена светильника светодиодный - 80шт</t>
  </si>
  <si>
    <t>П.Алексеева 21/4</t>
  </si>
  <si>
    <t>замена светильника - 1шт, лампа ЛЕД - 8шт</t>
  </si>
  <si>
    <t>7 корпус</t>
  </si>
  <si>
    <t>замена светильника - 1шт, лампа лед - 4шт</t>
  </si>
  <si>
    <t>П.Алексеева 21/1</t>
  </si>
  <si>
    <t>замена светильника на светодиодный с датчиком и режимом-2 шт</t>
  </si>
  <si>
    <t>монтаж автомата: выключатель автоматический 25А-52 шт, 40А-27 шт</t>
  </si>
  <si>
    <t>ремонт ВРУ, замена трансформаторов тока Т-0,66-3 шт</t>
  </si>
  <si>
    <t>Ф.Попова 17/1</t>
  </si>
  <si>
    <t>П.Алексеева 21/3</t>
  </si>
  <si>
    <t>трансформатор тока-3 шт, выключатель-1 шт, розетка-1 шт, светильник-1 шт, лампа лед-1 шт</t>
  </si>
  <si>
    <t>установка адресного табла с подсветкой-1 шт</t>
  </si>
  <si>
    <t>ремонт ВРУ, замена трансформаторов тока Т-0,66-6 шт</t>
  </si>
  <si>
    <t>монтаж светильника: светильник НПП-2 шт, лампа лед-2 шт</t>
  </si>
  <si>
    <t>монтаж светильника: светильник НПП-1 шт, лампа лед-1 шт, лампа клл-2 шт</t>
  </si>
  <si>
    <t>монтаж светильника: светильник НПП-3 шт, лампа лед-3 шт, светильник люмин-2 шт, лампа клл-2 шт</t>
  </si>
  <si>
    <t>4 корпус</t>
  </si>
  <si>
    <t>монтаж светильника: светильник НПП-8 шт, лампа лед-8 шт, светильник люмин-4 шт, лампа клл-7 шт</t>
  </si>
  <si>
    <t>3 корпус</t>
  </si>
  <si>
    <t>монтаж светильника: лампа лед-5 шт, светильник люмин-3 шт, лампа клл-5 шт</t>
  </si>
  <si>
    <t>монтаж светильника: светильник НПП-1 шт, лампа лед-1 шт, лампа клл-4 шт</t>
  </si>
  <si>
    <t>15 корпус</t>
  </si>
  <si>
    <t>монтаж светильника и выключателя: светильник ЛПБ-1 шт, лампа-1 шт, выключатель-2 шт</t>
  </si>
  <si>
    <t>монтаж светильника и выключателя: светильник НПП-2 шт, лампа лед-2 шт, выключатель-29 шт</t>
  </si>
  <si>
    <t>ремонт силового пред шкафа: 1 шт</t>
  </si>
  <si>
    <t>монтаж трансформатора тока-3 шт</t>
  </si>
  <si>
    <t>монтаж светильника и выключателя: светильник НПП-1 шт, лампа лед-1 шт, выключатель-1 шт</t>
  </si>
  <si>
    <t>5 корпус</t>
  </si>
  <si>
    <t>демонтаж и монтаж светильников: светильник светодиодный-47 шт, светильник НПП-8 шт, лампа лед-8 шт</t>
  </si>
  <si>
    <t>монтаж розетки: розетка-1 шт, патрон-1 шт, лампа-1 шт</t>
  </si>
  <si>
    <t>монтаж патрона: патрон-1 шт, лампа-1 шт</t>
  </si>
  <si>
    <t>монтаж розетки, патрона и выключателя: розетка-1 шт, выключатель-1 шт, патрон-1 шт, лампа-1 шт</t>
  </si>
  <si>
    <t>монтаж розетки: розетка-1 шт</t>
  </si>
  <si>
    <t>монтаж розетки, выключателя и патрона: розетка-1 шт, выключатель-1 шт, патрон-1 шт, лампа-1 шт</t>
  </si>
  <si>
    <t>ремонт распердкоробок 3шт, замена ламп диодный 3 шт, плафон 2шт</t>
  </si>
  <si>
    <t>установка светильника 1 шт</t>
  </si>
  <si>
    <t>установка светильника с диодной лампой 1 шт, светильник с лампой 11В-2шт.</t>
  </si>
  <si>
    <t>ремонт подъездного освещения: провод 1,5м, лампа 11В -2шт</t>
  </si>
  <si>
    <t>монтаж светильник с диодной лампой 1шт, выключатели 2шт, крышка распердкоробки 2 шт</t>
  </si>
  <si>
    <t>10 корпус</t>
  </si>
  <si>
    <t>монтаж свет. с диодной лампой 2шт, светильник 11В -1шт, лампа 11В-3 шт</t>
  </si>
  <si>
    <t>6 корпус</t>
  </si>
  <si>
    <t>монтаж светильник 11В- 1шт, дроссель 1шт, лампа 11В-2шт, крышка распердкоробки 2 шт</t>
  </si>
  <si>
    <t>замена подъездного освещения на светильники с датчикоми движения 45шт</t>
  </si>
  <si>
    <t>14/2 корпус</t>
  </si>
  <si>
    <t>замена подъездного освещения на светильники с датчикоми движения 17шт</t>
  </si>
  <si>
    <t>замена подъездного освещения на светильники с датчикоми движения 49шт</t>
  </si>
  <si>
    <t>ремонт этажных щитовых 2шт, замена ламп 11В -7</t>
  </si>
  <si>
    <t>замена светильника с диодной лампой 1шт, свет/люмин - 1шт</t>
  </si>
  <si>
    <t>Чернышевского 22/1, п.3</t>
  </si>
  <si>
    <t>устройство освещения в мусоропроводе: кабель канал 6м, провод 7м, светильник с диодной лампой 2шт, выключатель 1шт</t>
  </si>
  <si>
    <t>замена ПУ 1шт, трансформаторов тока 3шт</t>
  </si>
  <si>
    <t>8 корпус</t>
  </si>
  <si>
    <t>11 корпус</t>
  </si>
  <si>
    <t>18 корпус, п.6</t>
  </si>
  <si>
    <t>замена трансформаторов тока 3шт</t>
  </si>
  <si>
    <t>17 корпус</t>
  </si>
  <si>
    <t>замена светильника: светильник лпб-1 шт, лампа энергосбер-1 шт, светильник нпп-1 шт, лампа лед-1 шт</t>
  </si>
  <si>
    <t>замена светильника: светильник лед-4 шт, лампа лед-2 шт</t>
  </si>
  <si>
    <t>замена светильника: светильник нпп-4 шт, лампа лед-4 шт</t>
  </si>
  <si>
    <t>замена светильника: светодиодный светильник-27 шт</t>
  </si>
  <si>
    <t xml:space="preserve">замена трансформатора тока - 3 шт </t>
  </si>
  <si>
    <t>П.Алексеева 21</t>
  </si>
  <si>
    <t>П.Алексеева 21/2</t>
  </si>
  <si>
    <t xml:space="preserve">замена трансформатора тока - 6 шт </t>
  </si>
  <si>
    <t>Б.Марлинского 3/1</t>
  </si>
  <si>
    <t>монтаж лотка и укладка кабелей: короб металлический с крышкой - 48 шт</t>
  </si>
  <si>
    <t>освещение т/этажа провод АВВГ 2*2,5 -75м, лампа 60Вт -12шт, АВ 25А-1шт</t>
  </si>
  <si>
    <t>замена светильников на диодные 3шт, выключатель 2шт, провод 2м</t>
  </si>
  <si>
    <t>Кулаковского 4/3, п.1</t>
  </si>
  <si>
    <t>замена свет. на диодные 5шт, 11Вт -1шт, лампа 3шт, крышка распр/коробки 4шт</t>
  </si>
  <si>
    <t>ремонт ВРУ</t>
  </si>
  <si>
    <t>установка свет с датчиком шума 1шт, крышка распр/коробки 17шт, выкл -8шт, провод 12м, демонтаж опор светильников 21шт, кабель канал 8м</t>
  </si>
  <si>
    <t>25/2 корпус</t>
  </si>
  <si>
    <t>замена подъездного освещения на светильники с датчиком шума 19шт</t>
  </si>
  <si>
    <t>25 корпус</t>
  </si>
  <si>
    <t>замена подъездного освещения на светильники с датчиком шума 26шт</t>
  </si>
  <si>
    <t>25/1 корпус</t>
  </si>
  <si>
    <t>замена подъездного освещения на светильники с датчиком шума 21шт</t>
  </si>
  <si>
    <t>замена подъездного освещения на светильники с датчиком шума 44шт, светильник диодный 9шт</t>
  </si>
  <si>
    <t>18 корпус, п.3</t>
  </si>
  <si>
    <t>замена светильника на диодные-1шт</t>
  </si>
  <si>
    <t>замена светильника на диодные-3шт</t>
  </si>
  <si>
    <t>замена светильника на диодные-5шт</t>
  </si>
  <si>
    <t>замена подъездного освещения на светильники с датчиком шума 3шт</t>
  </si>
  <si>
    <t>16/1 корпус</t>
  </si>
  <si>
    <t>замена подъездного освещения на светильники с датчиком шума 16шт</t>
  </si>
  <si>
    <t>замена подъездного освещения на светильники с датчиком шума 48шт</t>
  </si>
  <si>
    <t>замена подъездного освещения на светильники с датчиком шума 42шт</t>
  </si>
  <si>
    <t>Замена светильника в тамбурах-6шт,крышка распред-7шт, провод -5м</t>
  </si>
  <si>
    <t>замена светильника на диодные-2шт</t>
  </si>
  <si>
    <t>замена светильника на диодные-6шт+выключатель</t>
  </si>
  <si>
    <t>замена светильника-1шт</t>
  </si>
  <si>
    <t>замена светильника-8шт, выключатель -3шт, кабель 6м.</t>
  </si>
  <si>
    <t>замена светильника-2шт, выключатель-1шт</t>
  </si>
  <si>
    <t>замена светильника-2шт, розетка-1шт</t>
  </si>
  <si>
    <t>замена светильника-2шт</t>
  </si>
  <si>
    <t>восстановление силового кабеля в 3,4 подъезде</t>
  </si>
  <si>
    <t>замена щита-1шт, счетчик-1шт, светильник-1шт, провод, розетка-2шт, распред коробка-1шт, кабель канал-14м</t>
  </si>
  <si>
    <t>восстановление силового кабеля 12м</t>
  </si>
  <si>
    <t>замена светильников на диодные с датчиком на шум-62шт</t>
  </si>
  <si>
    <t>замена светильника на диодные-2шт, с акустическим датчиком-1шт</t>
  </si>
  <si>
    <t>18/1 корпус</t>
  </si>
  <si>
    <t>замена светильника на диодные с акустическим датчиком-27шт</t>
  </si>
  <si>
    <t>замена светильника на диодные-7шт, с акустическим датчиком-42шт</t>
  </si>
  <si>
    <t>замена светильника на диодные-11шт</t>
  </si>
  <si>
    <t>Ленина 38, п.2</t>
  </si>
  <si>
    <t>Ленина 37, п.3,4</t>
  </si>
  <si>
    <t>замена светильника на диодные-9шт, выключателей-2шт</t>
  </si>
  <si>
    <t>П.Алексеева 27/1</t>
  </si>
  <si>
    <t>замена светильника на диодные с акустическим датчиком-2шт</t>
  </si>
  <si>
    <t>замена светильника на диодные-3шт, ламп LED-3шт</t>
  </si>
  <si>
    <t>замена светильника на диодные-8шт, с акустическим датчиком-1шт</t>
  </si>
  <si>
    <t>замена светильника на диодные-4шт, с акустическим датчиком-1шт, установка тепловой завесы-1шт</t>
  </si>
  <si>
    <t>замена светильника на диодные-6шт, с акустическим датчиком-2шт</t>
  </si>
  <si>
    <t>замена светильника на диодные с акустическим датчиком-76шт</t>
  </si>
  <si>
    <t>Чиряева 6, э/у</t>
  </si>
  <si>
    <t>установка светильника диодного-1шт, выключатель-1шт</t>
  </si>
  <si>
    <t>Чиряева 8, э/у</t>
  </si>
  <si>
    <t>установка светильника диодного-1шт</t>
  </si>
  <si>
    <t>Ленина 6, э/у</t>
  </si>
  <si>
    <t>Ленина 6/1, э/у</t>
  </si>
  <si>
    <t>установка светильника диодного-1шт, розетка-1шт</t>
  </si>
  <si>
    <t>Губина 35, э/у</t>
  </si>
  <si>
    <t>Губина 35/1, э/у</t>
  </si>
  <si>
    <t>установка светильника диодного-1шт, гофра ПВХ-8м</t>
  </si>
  <si>
    <t>Губина 33, э/у</t>
  </si>
  <si>
    <t>Губина 25/1, э/у</t>
  </si>
  <si>
    <t>Хабарова 27/4, э/у</t>
  </si>
  <si>
    <t>установка светильника диодного-1шт, выключатель-1шт, гофра ПВХ-1м</t>
  </si>
  <si>
    <t>Хабарова 27/3, э/у</t>
  </si>
  <si>
    <t>Дзержинского 20/3, э/у</t>
  </si>
  <si>
    <t>установка светильника диодного-1шт, выключатель-1шт, розетка-1шт, гофра ПВХ-1,5м</t>
  </si>
  <si>
    <t>Дзержинского 26/1, э/у</t>
  </si>
  <si>
    <t>Дзержинского 26/2, э/у</t>
  </si>
  <si>
    <t>установка светильника диодного-1шт, выключатель-1шт, розетка-1шт, гофра ПВХ-20м</t>
  </si>
  <si>
    <t>Хабарова 17/1, э/у</t>
  </si>
  <si>
    <t>установка светильника диодного-1шт, выключатель-1шт, розетка-1шт</t>
  </si>
  <si>
    <t>Дзержинского 22/2, э/у</t>
  </si>
  <si>
    <t>Дзержинского 22/1, э/у</t>
  </si>
  <si>
    <t>установка светильника диодного-1шт, выключатель-1шт, розетка-1шт, гофра ПВХ-2м</t>
  </si>
  <si>
    <t>3 корпус, э/у</t>
  </si>
  <si>
    <t>установка светильника диодного-2шт, выключатель-1шт, гофра ПВХ-1,5м</t>
  </si>
  <si>
    <t>4 корпус, э/у</t>
  </si>
  <si>
    <t>5 корпус, э/у</t>
  </si>
  <si>
    <t>6 корпус, э/у</t>
  </si>
  <si>
    <t>установка светильника диодного-1шт, выключатель-1шт,  гофра ПВХ-2,5м</t>
  </si>
  <si>
    <t>7 корпус, э/у</t>
  </si>
  <si>
    <t>8 корпус, э/у</t>
  </si>
  <si>
    <t>установка светильника диодного-1шт, выключатель-1шт,  гофра ПВХ-3,5м</t>
  </si>
  <si>
    <t>10 корпус, э/у</t>
  </si>
  <si>
    <t>установка светильника диодного-1шт, выключатель-1шт,  гофра ПВХ-1м</t>
  </si>
  <si>
    <t>11 корпус, э/у</t>
  </si>
  <si>
    <t>12 корпус, э/у</t>
  </si>
  <si>
    <t>13 корпус, э/у</t>
  </si>
  <si>
    <t>15 корпус, э/у</t>
  </si>
  <si>
    <t>установка светильника диодного-1шт, гофра ПВХ-0,8м</t>
  </si>
  <si>
    <t>16/1 корпус, э/у</t>
  </si>
  <si>
    <t>16/2 корпус, э/у</t>
  </si>
  <si>
    <t>18 корпус, э/у</t>
  </si>
  <si>
    <t>18/1 корпус, э/у</t>
  </si>
  <si>
    <t>25 корпус, э/у</t>
  </si>
  <si>
    <t>25/1 корпус, э/у</t>
  </si>
  <si>
    <t>25/2 корпус, э/у</t>
  </si>
  <si>
    <t>1 корпус, э/у</t>
  </si>
  <si>
    <t>установка светильника диодного-1шт, кабель канал 8м</t>
  </si>
  <si>
    <t>проведение испытаний и электрических измерений в электроустановках</t>
  </si>
  <si>
    <t>Б.Марлинского 1/1</t>
  </si>
  <si>
    <t>Ф.Попова 17/2</t>
  </si>
  <si>
    <t>Покровский тракт 4км, д.1</t>
  </si>
  <si>
    <t>Покровский тракт 4км, д.2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</si>
</sst>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mmm/yyyy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#,##0.00&quot;р.&quot;"/>
  </numFmts>
  <fonts count="50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7" fontId="1" fillId="0" borderId="15" xfId="60" applyFont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187" fontId="0" fillId="0" borderId="0" xfId="60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27" xfId="0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87" fontId="1" fillId="0" borderId="14" xfId="60" applyFont="1" applyBorder="1" applyAlignment="1">
      <alignment/>
    </xf>
    <xf numFmtId="187" fontId="1" fillId="0" borderId="30" xfId="60" applyFont="1" applyBorder="1" applyAlignment="1">
      <alignment/>
    </xf>
    <xf numFmtId="0" fontId="6" fillId="0" borderId="31" xfId="0" applyFont="1" applyBorder="1" applyAlignment="1">
      <alignment/>
    </xf>
    <xf numFmtId="187" fontId="1" fillId="0" borderId="32" xfId="6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187" fontId="1" fillId="0" borderId="0" xfId="60" applyFont="1" applyFill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 wrapText="1"/>
    </xf>
    <xf numFmtId="188" fontId="5" fillId="32" borderId="15" xfId="0" applyNumberFormat="1" applyFont="1" applyFill="1" applyBorder="1" applyAlignment="1">
      <alignment horizontal="center" vertical="center" wrapText="1"/>
    </xf>
    <xf numFmtId="187" fontId="1" fillId="32" borderId="15" xfId="60" applyFont="1" applyFill="1" applyBorder="1" applyAlignment="1">
      <alignment/>
    </xf>
    <xf numFmtId="187" fontId="5" fillId="32" borderId="15" xfId="60" applyFont="1" applyFill="1" applyBorder="1" applyAlignment="1">
      <alignment horizontal="center" vertical="center" wrapText="1"/>
    </xf>
    <xf numFmtId="187" fontId="1" fillId="32" borderId="14" xfId="60" applyFont="1" applyFill="1" applyBorder="1" applyAlignment="1">
      <alignment/>
    </xf>
    <xf numFmtId="187" fontId="5" fillId="32" borderId="39" xfId="60" applyFont="1" applyFill="1" applyBorder="1" applyAlignment="1">
      <alignment horizontal="center" vertical="center" wrapText="1"/>
    </xf>
    <xf numFmtId="188" fontId="1" fillId="32" borderId="15" xfId="0" applyNumberFormat="1" applyFont="1" applyFill="1" applyBorder="1" applyAlignment="1">
      <alignment horizontal="center" vertical="center" wrapText="1"/>
    </xf>
    <xf numFmtId="187" fontId="1" fillId="32" borderId="15" xfId="6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188" fontId="1" fillId="32" borderId="15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87" fontId="1" fillId="32" borderId="15" xfId="60" applyFont="1" applyFill="1" applyBorder="1" applyAlignment="1">
      <alignment/>
    </xf>
    <xf numFmtId="187" fontId="5" fillId="32" borderId="15" xfId="60" applyFont="1" applyFill="1" applyBorder="1" applyAlignment="1">
      <alignment/>
    </xf>
    <xf numFmtId="187" fontId="5" fillId="32" borderId="39" xfId="60" applyFont="1" applyFill="1" applyBorder="1" applyAlignment="1">
      <alignment/>
    </xf>
    <xf numFmtId="187" fontId="1" fillId="32" borderId="14" xfId="60" applyFont="1" applyFill="1" applyBorder="1" applyAlignment="1">
      <alignment/>
    </xf>
    <xf numFmtId="187" fontId="4" fillId="32" borderId="15" xfId="60" applyFont="1" applyFill="1" applyBorder="1" applyAlignment="1">
      <alignment/>
    </xf>
    <xf numFmtId="0" fontId="1" fillId="32" borderId="36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187" fontId="1" fillId="32" borderId="40" xfId="6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187" fontId="5" fillId="32" borderId="15" xfId="60" applyFont="1" applyFill="1" applyBorder="1" applyAlignment="1">
      <alignment horizontal="center"/>
    </xf>
    <xf numFmtId="187" fontId="5" fillId="32" borderId="39" xfId="6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/>
    </xf>
    <xf numFmtId="187" fontId="1" fillId="32" borderId="15" xfId="60" applyFont="1" applyFill="1" applyBorder="1" applyAlignment="1">
      <alignment horizontal="center" vertical="center" wrapText="1"/>
    </xf>
    <xf numFmtId="187" fontId="5" fillId="32" borderId="39" xfId="60" applyFont="1" applyFill="1" applyBorder="1" applyAlignment="1">
      <alignment/>
    </xf>
    <xf numFmtId="187" fontId="5" fillId="32" borderId="41" xfId="60" applyFont="1" applyFill="1" applyBorder="1" applyAlignment="1">
      <alignment horizontal="center" vertical="center" wrapText="1"/>
    </xf>
    <xf numFmtId="187" fontId="11" fillId="32" borderId="15" xfId="60" applyFont="1" applyFill="1" applyBorder="1" applyAlignment="1">
      <alignment/>
    </xf>
    <xf numFmtId="187" fontId="8" fillId="32" borderId="15" xfId="6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3" fillId="0" borderId="0" xfId="0" applyNumberFormat="1" applyFont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wrapText="1"/>
    </xf>
    <xf numFmtId="187" fontId="5" fillId="32" borderId="42" xfId="60" applyFont="1" applyFill="1" applyBorder="1" applyAlignment="1">
      <alignment horizontal="center" vertical="center" wrapText="1"/>
    </xf>
    <xf numFmtId="187" fontId="5" fillId="32" borderId="42" xfId="60" applyFont="1" applyFill="1" applyBorder="1" applyAlignment="1">
      <alignment/>
    </xf>
    <xf numFmtId="187" fontId="1" fillId="32" borderId="43" xfId="60" applyFont="1" applyFill="1" applyBorder="1" applyAlignment="1">
      <alignment/>
    </xf>
    <xf numFmtId="187" fontId="5" fillId="32" borderId="42" xfId="60" applyFont="1" applyFill="1" applyBorder="1" applyAlignment="1">
      <alignment horizontal="center"/>
    </xf>
    <xf numFmtId="187" fontId="5" fillId="32" borderId="42" xfId="60" applyFont="1" applyFill="1" applyBorder="1" applyAlignment="1">
      <alignment/>
    </xf>
    <xf numFmtId="187" fontId="5" fillId="32" borderId="15" xfId="0" applyNumberFormat="1" applyFont="1" applyFill="1" applyBorder="1" applyAlignment="1">
      <alignment/>
    </xf>
    <xf numFmtId="187" fontId="1" fillId="32" borderId="44" xfId="60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187" fontId="5" fillId="32" borderId="15" xfId="60" applyNumberFormat="1" applyFont="1" applyFill="1" applyBorder="1" applyAlignment="1">
      <alignment/>
    </xf>
    <xf numFmtId="187" fontId="5" fillId="32" borderId="42" xfId="6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187" fontId="1" fillId="32" borderId="0" xfId="60" applyFont="1" applyFill="1" applyAlignment="1">
      <alignment/>
    </xf>
    <xf numFmtId="4" fontId="1" fillId="0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/>
    </xf>
    <xf numFmtId="187" fontId="5" fillId="32" borderId="15" xfId="6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87" fontId="1" fillId="32" borderId="45" xfId="60" applyFont="1" applyFill="1" applyBorder="1" applyAlignment="1">
      <alignment/>
    </xf>
    <xf numFmtId="187" fontId="1" fillId="32" borderId="30" xfId="60" applyFont="1" applyFill="1" applyBorder="1" applyAlignment="1">
      <alignment/>
    </xf>
    <xf numFmtId="187" fontId="5" fillId="32" borderId="46" xfId="60" applyFont="1" applyFill="1" applyBorder="1" applyAlignment="1">
      <alignment horizontal="center" vertical="center" wrapText="1"/>
    </xf>
    <xf numFmtId="187" fontId="1" fillId="32" borderId="32" xfId="60" applyFont="1" applyFill="1" applyBorder="1" applyAlignment="1">
      <alignment/>
    </xf>
    <xf numFmtId="187" fontId="5" fillId="32" borderId="37" xfId="60" applyFont="1" applyFill="1" applyBorder="1" applyAlignment="1">
      <alignment/>
    </xf>
    <xf numFmtId="187" fontId="5" fillId="32" borderId="45" xfId="60" applyFont="1" applyFill="1" applyBorder="1" applyAlignment="1">
      <alignment horizontal="center" vertical="center" wrapText="1"/>
    </xf>
    <xf numFmtId="187" fontId="5" fillId="32" borderId="37" xfId="60" applyFont="1" applyFill="1" applyBorder="1" applyAlignment="1">
      <alignment horizontal="center" vertical="center" wrapText="1"/>
    </xf>
    <xf numFmtId="187" fontId="1" fillId="32" borderId="45" xfId="60" applyFont="1" applyFill="1" applyBorder="1" applyAlignment="1">
      <alignment/>
    </xf>
    <xf numFmtId="187" fontId="5" fillId="32" borderId="45" xfId="60" applyFont="1" applyFill="1" applyBorder="1" applyAlignment="1">
      <alignment/>
    </xf>
    <xf numFmtId="187" fontId="1" fillId="32" borderId="30" xfId="60" applyFont="1" applyFill="1" applyBorder="1" applyAlignment="1">
      <alignment/>
    </xf>
    <xf numFmtId="187" fontId="5" fillId="32" borderId="46" xfId="60" applyFont="1" applyFill="1" applyBorder="1" applyAlignment="1">
      <alignment/>
    </xf>
    <xf numFmtId="187" fontId="1" fillId="32" borderId="22" xfId="60" applyFont="1" applyFill="1" applyBorder="1" applyAlignment="1">
      <alignment/>
    </xf>
    <xf numFmtId="187" fontId="5" fillId="32" borderId="22" xfId="60" applyFont="1" applyFill="1" applyBorder="1" applyAlignment="1">
      <alignment/>
    </xf>
    <xf numFmtId="187" fontId="1" fillId="32" borderId="45" xfId="60" applyFont="1" applyFill="1" applyBorder="1" applyAlignment="1">
      <alignment horizontal="center"/>
    </xf>
    <xf numFmtId="187" fontId="5" fillId="32" borderId="45" xfId="60" applyFont="1" applyFill="1" applyBorder="1" applyAlignment="1">
      <alignment horizontal="center"/>
    </xf>
    <xf numFmtId="187" fontId="5" fillId="32" borderId="46" xfId="60" applyFont="1" applyFill="1" applyBorder="1" applyAlignment="1">
      <alignment horizontal="center"/>
    </xf>
    <xf numFmtId="187" fontId="1" fillId="32" borderId="22" xfId="60" applyFont="1" applyFill="1" applyBorder="1" applyAlignment="1">
      <alignment/>
    </xf>
    <xf numFmtId="187" fontId="5" fillId="32" borderId="22" xfId="60" applyFont="1" applyFill="1" applyBorder="1" applyAlignment="1">
      <alignment horizontal="center"/>
    </xf>
    <xf numFmtId="187" fontId="5" fillId="32" borderId="22" xfId="60" applyFont="1" applyFill="1" applyBorder="1" applyAlignment="1">
      <alignment horizontal="center" vertical="center" wrapText="1"/>
    </xf>
    <xf numFmtId="187" fontId="1" fillId="32" borderId="45" xfId="60" applyFont="1" applyFill="1" applyBorder="1" applyAlignment="1">
      <alignment horizontal="center" vertical="center" wrapText="1"/>
    </xf>
    <xf numFmtId="187" fontId="5" fillId="32" borderId="45" xfId="60" applyFont="1" applyFill="1" applyBorder="1" applyAlignment="1">
      <alignment/>
    </xf>
    <xf numFmtId="187" fontId="1" fillId="32" borderId="30" xfId="60" applyFont="1" applyFill="1" applyBorder="1" applyAlignment="1">
      <alignment horizontal="center" vertical="center" wrapText="1"/>
    </xf>
    <xf numFmtId="187" fontId="5" fillId="32" borderId="46" xfId="60" applyFont="1" applyFill="1" applyBorder="1" applyAlignment="1">
      <alignment/>
    </xf>
    <xf numFmtId="187" fontId="1" fillId="32" borderId="30" xfId="0" applyNumberFormat="1" applyFont="1" applyFill="1" applyBorder="1" applyAlignment="1">
      <alignment/>
    </xf>
    <xf numFmtId="187" fontId="5" fillId="32" borderId="22" xfId="60" applyFont="1" applyFill="1" applyBorder="1" applyAlignment="1">
      <alignment/>
    </xf>
    <xf numFmtId="187" fontId="5" fillId="32" borderId="47" xfId="60" applyFont="1" applyFill="1" applyBorder="1" applyAlignment="1">
      <alignment horizontal="center" vertical="center" wrapText="1"/>
    </xf>
    <xf numFmtId="187" fontId="1" fillId="32" borderId="19" xfId="60" applyFont="1" applyFill="1" applyBorder="1" applyAlignment="1">
      <alignment/>
    </xf>
    <xf numFmtId="0" fontId="13" fillId="0" borderId="0" xfId="0" applyFont="1" applyBorder="1" applyAlignment="1">
      <alignment wrapText="1"/>
    </xf>
    <xf numFmtId="187" fontId="1" fillId="0" borderId="0" xfId="60" applyFont="1" applyAlignment="1">
      <alignment horizontal="right" vertical="center"/>
    </xf>
    <xf numFmtId="187" fontId="13" fillId="0" borderId="0" xfId="60" applyFont="1" applyBorder="1" applyAlignment="1">
      <alignment horizontal="right" vertical="center" wrapText="1"/>
    </xf>
    <xf numFmtId="187" fontId="0" fillId="0" borderId="0" xfId="60" applyFont="1" applyAlignment="1">
      <alignment/>
    </xf>
    <xf numFmtId="187" fontId="1" fillId="0" borderId="0" xfId="60" applyFont="1" applyAlignment="1">
      <alignment/>
    </xf>
    <xf numFmtId="187" fontId="1" fillId="0" borderId="0" xfId="0" applyNumberFormat="1" applyFont="1" applyAlignment="1">
      <alignment/>
    </xf>
    <xf numFmtId="0" fontId="13" fillId="0" borderId="0" xfId="0" applyFont="1" applyBorder="1" applyAlignment="1">
      <alignment vertical="top" wrapText="1"/>
    </xf>
    <xf numFmtId="187" fontId="13" fillId="0" borderId="0" xfId="60" applyFont="1" applyBorder="1" applyAlignment="1">
      <alignment horizontal="right" wrapText="1"/>
    </xf>
    <xf numFmtId="187" fontId="13" fillId="0" borderId="0" xfId="60" applyFont="1" applyBorder="1" applyAlignment="1">
      <alignment horizontal="right" vertical="top" wrapText="1"/>
    </xf>
    <xf numFmtId="187" fontId="1" fillId="0" borderId="0" xfId="60" applyFont="1" applyAlignment="1">
      <alignment horizontal="right"/>
    </xf>
    <xf numFmtId="187" fontId="1" fillId="0" borderId="0" xfId="0" applyNumberFormat="1" applyFont="1" applyFill="1" applyAlignment="1">
      <alignment/>
    </xf>
    <xf numFmtId="187" fontId="13" fillId="0" borderId="0" xfId="60" applyFont="1" applyBorder="1" applyAlignment="1">
      <alignment vertical="top" wrapText="1"/>
    </xf>
    <xf numFmtId="0" fontId="1" fillId="0" borderId="0" xfId="0" applyFont="1" applyAlignment="1">
      <alignment horizontal="left"/>
    </xf>
    <xf numFmtId="187" fontId="13" fillId="0" borderId="0" xfId="60" applyFont="1" applyBorder="1" applyAlignment="1">
      <alignment vertical="center" wrapText="1"/>
    </xf>
    <xf numFmtId="187" fontId="1" fillId="0" borderId="0" xfId="60" applyFont="1" applyFill="1" applyAlignment="1">
      <alignment/>
    </xf>
    <xf numFmtId="187" fontId="13" fillId="0" borderId="0" xfId="60" applyFont="1" applyFill="1" applyBorder="1" applyAlignment="1">
      <alignment vertical="top" wrapText="1"/>
    </xf>
    <xf numFmtId="187" fontId="1" fillId="0" borderId="0" xfId="60" applyFont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49"/>
  <sheetViews>
    <sheetView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6" sqref="O16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57421875" style="26" customWidth="1"/>
    <col min="4" max="6" width="9.8515625" style="0" customWidth="1"/>
    <col min="7" max="7" width="10.7109375" style="0" customWidth="1"/>
    <col min="8" max="9" width="9.57421875" style="0" customWidth="1"/>
    <col min="10" max="10" width="11.57421875" style="0" customWidth="1"/>
    <col min="11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0" width="9.57421875" style="0" customWidth="1"/>
    <col min="21" max="21" width="9.8515625" style="0" customWidth="1"/>
    <col min="22" max="22" width="10.00390625" style="0" customWidth="1"/>
    <col min="23" max="28" width="9.57421875" style="0" customWidth="1"/>
    <col min="29" max="29" width="11.140625" style="0" customWidth="1"/>
    <col min="30" max="41" width="9.28125" style="0" customWidth="1"/>
    <col min="42" max="42" width="10.00390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13"/>
      <c r="B6" s="37" t="s">
        <v>158</v>
      </c>
      <c r="C6" s="29"/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2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85"/>
    </row>
    <row r="7" spans="1:43" s="35" customFormat="1" ht="9.75">
      <c r="A7" s="10">
        <v>1</v>
      </c>
      <c r="B7" s="9" t="s">
        <v>159</v>
      </c>
      <c r="C7" s="123">
        <v>4304.1</v>
      </c>
      <c r="D7" s="125"/>
      <c r="E7" s="125"/>
      <c r="F7" s="125"/>
      <c r="G7" s="125"/>
      <c r="H7" s="125"/>
      <c r="I7" s="125"/>
      <c r="J7" s="125">
        <v>33685.78</v>
      </c>
      <c r="K7" s="125"/>
      <c r="L7" s="125"/>
      <c r="M7" s="125"/>
      <c r="N7" s="125"/>
      <c r="O7" s="125"/>
      <c r="P7" s="194">
        <f>SUM(D7:O7)</f>
        <v>33685.78</v>
      </c>
      <c r="Q7" s="127">
        <f>C7*593690.15/479520.23</f>
        <v>5328.871682045616</v>
      </c>
      <c r="R7" s="125">
        <f>C7*593686.15/479517.01</f>
        <v>5328.8715622726295</v>
      </c>
      <c r="S7" s="125">
        <f>C7*579500.06/479514.61</f>
        <v>5201.564574322356</v>
      </c>
      <c r="T7" s="125">
        <f>C7*593938.3/479720.67</f>
        <v>5328.871564008281</v>
      </c>
      <c r="U7" s="125">
        <f>C7*576132.29/479725.57</f>
        <v>5169.061531135396</v>
      </c>
      <c r="V7" s="125">
        <f>C7*593946.23/479729.4</f>
        <v>5328.845737916</v>
      </c>
      <c r="W7" s="125">
        <f>C7*594015.27/479782.82</f>
        <v>5328.871766619322</v>
      </c>
      <c r="X7" s="125">
        <f>C7*594005.55/479774.98</f>
        <v>5328.871646776996</v>
      </c>
      <c r="Y7" s="125">
        <f>C7*585421.9/479766.08</f>
        <v>5251.964456907834</v>
      </c>
      <c r="Z7" s="125">
        <f>C7*572643.93/479776.28</f>
        <v>5137.220912865889</v>
      </c>
      <c r="AA7" s="125">
        <f>C7*588687.52/475479.64</f>
        <v>5328.871610216581</v>
      </c>
      <c r="AB7" s="125">
        <f>C7*577403.59/475489.94</f>
        <v>5226.6148716395555</v>
      </c>
      <c r="AC7" s="195">
        <f>SUM(Q7:AB7)</f>
        <v>63288.501916726455</v>
      </c>
      <c r="AD7" s="127"/>
      <c r="AE7" s="125">
        <f>9128.47</f>
        <v>9128.47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9128.47</v>
      </c>
      <c r="AQ7" s="197">
        <f>P7+AC7+AP7</f>
        <v>106102.75191672645</v>
      </c>
    </row>
    <row r="8" spans="1:43" s="35" customFormat="1" ht="9.75">
      <c r="A8" s="10">
        <v>2</v>
      </c>
      <c r="B8" s="9" t="s">
        <v>160</v>
      </c>
      <c r="C8" s="123">
        <v>4391.54</v>
      </c>
      <c r="D8" s="125"/>
      <c r="E8" s="125"/>
      <c r="F8" s="125"/>
      <c r="G8" s="125"/>
      <c r="H8" s="125"/>
      <c r="I8" s="125"/>
      <c r="J8" s="125">
        <f>4110.06+34492.95</f>
        <v>38603.009999999995</v>
      </c>
      <c r="K8" s="125"/>
      <c r="L8" s="125"/>
      <c r="M8" s="125"/>
      <c r="N8" s="125"/>
      <c r="O8" s="125">
        <v>6240</v>
      </c>
      <c r="P8" s="194">
        <f aca="true" t="shared" si="0" ref="P8:P16">SUM(D8:O8)</f>
        <v>44843.009999999995</v>
      </c>
      <c r="Q8" s="127">
        <f aca="true" t="shared" si="1" ref="Q8:Q16">C8*593690.15/479520.23</f>
        <v>5437.130444592504</v>
      </c>
      <c r="R8" s="125">
        <f aca="true" t="shared" si="2" ref="R8:R16">C8*593686.15/479517.01</f>
        <v>5437.13032238627</v>
      </c>
      <c r="S8" s="125">
        <f aca="true" t="shared" si="3" ref="S8:S16">C8*579500.06/479514.61</f>
        <v>5307.23702765261</v>
      </c>
      <c r="T8" s="125">
        <f aca="true" t="shared" si="4" ref="T8:T16">C8*593938.3/479720.67</f>
        <v>5437.130324157181</v>
      </c>
      <c r="U8" s="125">
        <f aca="true" t="shared" si="5" ref="U8:U16">C8*576132.29/479725.57</f>
        <v>5274.073668465494</v>
      </c>
      <c r="V8" s="125">
        <f aca="true" t="shared" si="6" ref="V8:V16">C8*593946.23/479729.4</f>
        <v>5437.103973394584</v>
      </c>
      <c r="W8" s="125">
        <f aca="true" t="shared" si="7" ref="W8:W16">C8*594015.27/479782.82</f>
        <v>5437.13053088437</v>
      </c>
      <c r="X8" s="125">
        <f aca="true" t="shared" si="8" ref="X8:X16">C8*594005.55/479774.98</f>
        <v>5437.130408607386</v>
      </c>
      <c r="Y8" s="125">
        <f aca="true" t="shared" si="9" ref="Y8:Y16">C8*585421.9/479766.08</f>
        <v>5358.660809713768</v>
      </c>
      <c r="Z8" s="125">
        <f aca="true" t="shared" si="10" ref="Z8:Z16">C8*572643.93/479776.28</f>
        <v>5241.58619169793</v>
      </c>
      <c r="AA8" s="125">
        <f aca="true" t="shared" si="11" ref="AA8:AA16">C8*588687.52/475479.64</f>
        <v>5437.130371304226</v>
      </c>
      <c r="AB8" s="125">
        <f aca="true" t="shared" si="12" ref="AB8:AB16">C8*577403.59/475489.94</f>
        <v>5332.796234613501</v>
      </c>
      <c r="AC8" s="195">
        <f aca="true" t="shared" si="13" ref="AC8:AC16">SUM(Q8:AB8)</f>
        <v>64574.24030746982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aca="true" t="shared" si="14" ref="AP8:AP16">SUM(AD8:AO8)</f>
        <v>0</v>
      </c>
      <c r="AQ8" s="197">
        <f aca="true" t="shared" si="15" ref="AQ8:AQ16">P8+AC8+AP8</f>
        <v>109417.25030746982</v>
      </c>
    </row>
    <row r="9" spans="1:43" s="35" customFormat="1" ht="9.75">
      <c r="A9" s="10">
        <v>3</v>
      </c>
      <c r="B9" s="9" t="s">
        <v>161</v>
      </c>
      <c r="C9" s="123">
        <v>3591.8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>
        <v>6240</v>
      </c>
      <c r="P9" s="194">
        <f t="shared" si="0"/>
        <v>6240</v>
      </c>
      <c r="Q9" s="127">
        <f t="shared" si="1"/>
        <v>4446.978766193035</v>
      </c>
      <c r="R9" s="125">
        <f t="shared" si="2"/>
        <v>4446.978666241684</v>
      </c>
      <c r="S9" s="125">
        <f t="shared" si="3"/>
        <v>4340.74014034317</v>
      </c>
      <c r="T9" s="125">
        <f t="shared" si="4"/>
        <v>4446.978667690097</v>
      </c>
      <c r="U9" s="125">
        <f t="shared" si="5"/>
        <v>4313.616135204134</v>
      </c>
      <c r="V9" s="125">
        <f t="shared" si="6"/>
        <v>4446.957115644778</v>
      </c>
      <c r="W9" s="125">
        <f t="shared" si="7"/>
        <v>4446.978836770354</v>
      </c>
      <c r="X9" s="125">
        <f t="shared" si="8"/>
        <v>4446.978736761138</v>
      </c>
      <c r="Y9" s="125">
        <f t="shared" si="9"/>
        <v>4382.799176673766</v>
      </c>
      <c r="Z9" s="125">
        <f t="shared" si="10"/>
        <v>4287.044928052717</v>
      </c>
      <c r="AA9" s="125">
        <f t="shared" si="11"/>
        <v>4446.978706251229</v>
      </c>
      <c r="AB9" s="125">
        <f t="shared" si="12"/>
        <v>4361.644779618261</v>
      </c>
      <c r="AC9" s="195">
        <f t="shared" si="13"/>
        <v>52814.67465544437</v>
      </c>
      <c r="AD9" s="127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 t="shared" si="14"/>
        <v>0</v>
      </c>
      <c r="AQ9" s="197">
        <f t="shared" si="15"/>
        <v>59054.67465544437</v>
      </c>
    </row>
    <row r="10" spans="1:43" s="35" customFormat="1" ht="9.75">
      <c r="A10" s="10">
        <v>4</v>
      </c>
      <c r="B10" s="9" t="s">
        <v>162</v>
      </c>
      <c r="C10" s="123">
        <v>4325.5</v>
      </c>
      <c r="D10" s="125"/>
      <c r="E10" s="125"/>
      <c r="F10" s="125"/>
      <c r="G10" s="125">
        <v>856.49</v>
      </c>
      <c r="H10" s="125">
        <v>2503.48</v>
      </c>
      <c r="I10" s="125"/>
      <c r="J10" s="125">
        <v>33860.3</v>
      </c>
      <c r="K10" s="125"/>
      <c r="L10" s="125"/>
      <c r="M10" s="125"/>
      <c r="N10" s="125"/>
      <c r="O10" s="125"/>
      <c r="P10" s="194">
        <f t="shared" si="0"/>
        <v>37220.270000000004</v>
      </c>
      <c r="Q10" s="127">
        <f t="shared" si="1"/>
        <v>5355.3668503725075</v>
      </c>
      <c r="R10" s="125">
        <f t="shared" si="2"/>
        <v>5355.366730004011</v>
      </c>
      <c r="S10" s="125">
        <f t="shared" si="3"/>
        <v>5227.426771271892</v>
      </c>
      <c r="T10" s="125">
        <f t="shared" si="4"/>
        <v>5355.3667317482905</v>
      </c>
      <c r="U10" s="125">
        <f t="shared" si="5"/>
        <v>5194.7621228424405</v>
      </c>
      <c r="V10" s="125">
        <f t="shared" si="6"/>
        <v>5355.34077724859</v>
      </c>
      <c r="W10" s="125">
        <f t="shared" si="7"/>
        <v>5355.366935366715</v>
      </c>
      <c r="X10" s="125">
        <f t="shared" si="8"/>
        <v>5355.366814928532</v>
      </c>
      <c r="Y10" s="125">
        <f t="shared" si="9"/>
        <v>5278.077242246889</v>
      </c>
      <c r="Z10" s="125">
        <f t="shared" si="10"/>
        <v>5162.763192909412</v>
      </c>
      <c r="AA10" s="125">
        <f t="shared" si="11"/>
        <v>5355.366778186339</v>
      </c>
      <c r="AB10" s="125">
        <f t="shared" si="12"/>
        <v>5252.601618753491</v>
      </c>
      <c r="AC10" s="195">
        <f t="shared" si="13"/>
        <v>63603.172565879104</v>
      </c>
      <c r="AD10" s="127"/>
      <c r="AE10" s="125"/>
      <c r="AF10" s="125"/>
      <c r="AG10" s="125">
        <v>9128.47</v>
      </c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9128.47</v>
      </c>
      <c r="AQ10" s="197">
        <f t="shared" si="15"/>
        <v>109951.91256587912</v>
      </c>
    </row>
    <row r="11" spans="1:43" s="35" customFormat="1" ht="9.75">
      <c r="A11" s="10">
        <v>5</v>
      </c>
      <c r="B11" s="9" t="s">
        <v>163</v>
      </c>
      <c r="C11" s="123">
        <v>4542.6</v>
      </c>
      <c r="D11" s="125"/>
      <c r="E11" s="125"/>
      <c r="F11" s="125"/>
      <c r="G11" s="125">
        <v>7058.26</v>
      </c>
      <c r="H11" s="125"/>
      <c r="I11" s="125"/>
      <c r="J11" s="125">
        <v>35502.17</v>
      </c>
      <c r="K11" s="125">
        <v>5721.31</v>
      </c>
      <c r="L11" s="125"/>
      <c r="M11" s="125"/>
      <c r="N11" s="125"/>
      <c r="O11" s="125"/>
      <c r="P11" s="194">
        <f t="shared" si="0"/>
        <v>48281.74</v>
      </c>
      <c r="Q11" s="127">
        <f t="shared" si="1"/>
        <v>5624.156618772894</v>
      </c>
      <c r="R11" s="125">
        <f t="shared" si="2"/>
        <v>5624.156492363014</v>
      </c>
      <c r="S11" s="125">
        <f t="shared" si="3"/>
        <v>5489.795133783307</v>
      </c>
      <c r="T11" s="125">
        <f t="shared" si="4"/>
        <v>5624.156494194842</v>
      </c>
      <c r="U11" s="125">
        <f t="shared" si="5"/>
        <v>5455.491022823737</v>
      </c>
      <c r="V11" s="125">
        <f t="shared" si="6"/>
        <v>5624.12923701987</v>
      </c>
      <c r="W11" s="125">
        <f t="shared" si="7"/>
        <v>5624.156708033022</v>
      </c>
      <c r="X11" s="125">
        <f t="shared" si="8"/>
        <v>5624.15658154996</v>
      </c>
      <c r="Y11" s="125">
        <f t="shared" si="9"/>
        <v>5542.987788840763</v>
      </c>
      <c r="Z11" s="125">
        <f t="shared" si="10"/>
        <v>5421.886043257495</v>
      </c>
      <c r="AA11" s="125">
        <f t="shared" si="11"/>
        <v>5624.1565429636485</v>
      </c>
      <c r="AB11" s="125">
        <f t="shared" si="12"/>
        <v>5516.233525222427</v>
      </c>
      <c r="AC11" s="195">
        <f t="shared" si="13"/>
        <v>66795.46218882498</v>
      </c>
      <c r="AD11" s="127"/>
      <c r="AE11" s="125"/>
      <c r="AF11" s="125"/>
      <c r="AG11" s="125">
        <v>8215.64</v>
      </c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8215.64</v>
      </c>
      <c r="AQ11" s="197">
        <f t="shared" si="15"/>
        <v>123292.84218882497</v>
      </c>
    </row>
    <row r="12" spans="1:43" s="35" customFormat="1" ht="9.75">
      <c r="A12" s="10">
        <v>6</v>
      </c>
      <c r="B12" s="9" t="s">
        <v>164</v>
      </c>
      <c r="C12" s="123">
        <v>4406.17</v>
      </c>
      <c r="D12" s="125"/>
      <c r="E12" s="125"/>
      <c r="F12" s="125"/>
      <c r="G12" s="125"/>
      <c r="H12" s="125"/>
      <c r="I12" s="125"/>
      <c r="J12" s="125">
        <f>43506.77+34999.52</f>
        <v>78506.29</v>
      </c>
      <c r="K12" s="125"/>
      <c r="L12" s="125"/>
      <c r="M12" s="125"/>
      <c r="N12" s="125"/>
      <c r="O12" s="125">
        <v>6240</v>
      </c>
      <c r="P12" s="194">
        <f t="shared" si="0"/>
        <v>84746.29</v>
      </c>
      <c r="Q12" s="127">
        <f t="shared" si="1"/>
        <v>5455.243730229067</v>
      </c>
      <c r="R12" s="125">
        <f t="shared" si="2"/>
        <v>5455.243607615714</v>
      </c>
      <c r="S12" s="125">
        <f t="shared" si="3"/>
        <v>5324.917585660633</v>
      </c>
      <c r="T12" s="125">
        <f t="shared" si="4"/>
        <v>5455.243609392525</v>
      </c>
      <c r="U12" s="125">
        <f t="shared" si="5"/>
        <v>5291.64374588017</v>
      </c>
      <c r="V12" s="125">
        <f t="shared" si="6"/>
        <v>5455.217170844855</v>
      </c>
      <c r="W12" s="125">
        <f t="shared" si="7"/>
        <v>5455.2438168084045</v>
      </c>
      <c r="X12" s="125">
        <f t="shared" si="8"/>
        <v>5455.243694124067</v>
      </c>
      <c r="Y12" s="125">
        <f t="shared" si="9"/>
        <v>5376.512681186215</v>
      </c>
      <c r="Z12" s="125">
        <f t="shared" si="10"/>
        <v>5259.048040157592</v>
      </c>
      <c r="AA12" s="125">
        <f t="shared" si="11"/>
        <v>5455.243656696636</v>
      </c>
      <c r="AB12" s="125">
        <f t="shared" si="12"/>
        <v>5350.561940701206</v>
      </c>
      <c r="AC12" s="195">
        <f t="shared" si="13"/>
        <v>64789.36327929708</v>
      </c>
      <c r="AD12" s="127"/>
      <c r="AE12" s="125"/>
      <c r="AF12" s="125"/>
      <c r="AG12" s="125"/>
      <c r="AH12" s="125"/>
      <c r="AI12" s="125"/>
      <c r="AJ12" s="125">
        <v>4564.24</v>
      </c>
      <c r="AK12" s="125"/>
      <c r="AL12" s="125"/>
      <c r="AM12" s="125"/>
      <c r="AN12" s="125"/>
      <c r="AO12" s="125"/>
      <c r="AP12" s="195">
        <f t="shared" si="14"/>
        <v>4564.24</v>
      </c>
      <c r="AQ12" s="197">
        <f t="shared" si="15"/>
        <v>154099.89327929707</v>
      </c>
    </row>
    <row r="13" spans="1:43" s="35" customFormat="1" ht="9.75">
      <c r="A13" s="10">
        <v>7</v>
      </c>
      <c r="B13" s="9" t="s">
        <v>165</v>
      </c>
      <c r="C13" s="123">
        <v>3437.9</v>
      </c>
      <c r="D13" s="125"/>
      <c r="E13" s="125"/>
      <c r="F13" s="125"/>
      <c r="G13" s="125">
        <v>4492.94</v>
      </c>
      <c r="H13" s="125"/>
      <c r="I13" s="125"/>
      <c r="J13" s="125"/>
      <c r="K13" s="125"/>
      <c r="L13" s="125"/>
      <c r="M13" s="125"/>
      <c r="N13" s="125"/>
      <c r="O13" s="125"/>
      <c r="P13" s="194">
        <f t="shared" si="0"/>
        <v>4492.94</v>
      </c>
      <c r="Q13" s="127">
        <f t="shared" si="1"/>
        <v>4256.4364107954325</v>
      </c>
      <c r="R13" s="125">
        <f t="shared" si="2"/>
        <v>4256.436315126756</v>
      </c>
      <c r="S13" s="125">
        <f t="shared" si="3"/>
        <v>4154.749854804216</v>
      </c>
      <c r="T13" s="125">
        <f t="shared" si="4"/>
        <v>4256.436316513108</v>
      </c>
      <c r="U13" s="125">
        <f t="shared" si="5"/>
        <v>4128.788048114676</v>
      </c>
      <c r="V13" s="125">
        <f t="shared" si="6"/>
        <v>4256.415687921149</v>
      </c>
      <c r="W13" s="125">
        <f t="shared" si="7"/>
        <v>4256.436478348683</v>
      </c>
      <c r="X13" s="125">
        <f t="shared" si="8"/>
        <v>4256.436382624622</v>
      </c>
      <c r="Y13" s="125">
        <f t="shared" si="9"/>
        <v>4195.006762483084</v>
      </c>
      <c r="Z13" s="125">
        <f t="shared" si="10"/>
        <v>4103.3553533471895</v>
      </c>
      <c r="AA13" s="125">
        <f t="shared" si="11"/>
        <v>4256.436353421989</v>
      </c>
      <c r="AB13" s="125">
        <f t="shared" si="12"/>
        <v>4174.758780513842</v>
      </c>
      <c r="AC13" s="195">
        <f t="shared" si="13"/>
        <v>50551.692744014734</v>
      </c>
      <c r="AD13" s="127"/>
      <c r="AE13" s="125"/>
      <c r="AF13" s="125"/>
      <c r="AG13" s="125">
        <v>7302.77</v>
      </c>
      <c r="AH13" s="125"/>
      <c r="AI13" s="125"/>
      <c r="AJ13" s="125"/>
      <c r="AK13" s="125"/>
      <c r="AL13" s="125"/>
      <c r="AM13" s="125"/>
      <c r="AN13" s="125"/>
      <c r="AO13" s="125"/>
      <c r="AP13" s="195">
        <f t="shared" si="14"/>
        <v>7302.77</v>
      </c>
      <c r="AQ13" s="197">
        <f t="shared" si="15"/>
        <v>62347.40274401473</v>
      </c>
    </row>
    <row r="14" spans="1:43" s="35" customFormat="1" ht="9.75">
      <c r="A14" s="10">
        <v>8</v>
      </c>
      <c r="B14" s="9" t="s">
        <v>166</v>
      </c>
      <c r="C14" s="123">
        <v>3015.8</v>
      </c>
      <c r="D14" s="125"/>
      <c r="E14" s="125"/>
      <c r="F14" s="125">
        <f>7818.75</f>
        <v>7818.75</v>
      </c>
      <c r="G14" s="125"/>
      <c r="H14" s="125"/>
      <c r="I14" s="125"/>
      <c r="J14" s="125"/>
      <c r="K14" s="125"/>
      <c r="L14" s="125"/>
      <c r="M14" s="125"/>
      <c r="N14" s="125"/>
      <c r="O14" s="125">
        <v>6240</v>
      </c>
      <c r="P14" s="194">
        <f t="shared" si="0"/>
        <v>14058.75</v>
      </c>
      <c r="Q14" s="127">
        <f t="shared" si="1"/>
        <v>3733.837786927155</v>
      </c>
      <c r="R14" s="125">
        <f t="shared" si="2"/>
        <v>3733.8377030045294</v>
      </c>
      <c r="S14" s="125">
        <f t="shared" si="3"/>
        <v>3644.6361476827583</v>
      </c>
      <c r="T14" s="125">
        <f t="shared" si="4"/>
        <v>3733.8377042206675</v>
      </c>
      <c r="U14" s="125">
        <f t="shared" si="5"/>
        <v>3621.8618911266294</v>
      </c>
      <c r="V14" s="125">
        <f t="shared" si="6"/>
        <v>3733.8196083750545</v>
      </c>
      <c r="W14" s="125">
        <f t="shared" si="7"/>
        <v>3733.837846186323</v>
      </c>
      <c r="X14" s="125">
        <f t="shared" si="8"/>
        <v>3733.8377622151124</v>
      </c>
      <c r="Y14" s="125">
        <f t="shared" si="9"/>
        <v>3679.950375024429</v>
      </c>
      <c r="Z14" s="125">
        <f t="shared" si="10"/>
        <v>3599.5517829560067</v>
      </c>
      <c r="AA14" s="125">
        <f t="shared" si="11"/>
        <v>3733.837736597933</v>
      </c>
      <c r="AB14" s="125">
        <f t="shared" si="12"/>
        <v>3662.188408701139</v>
      </c>
      <c r="AC14" s="195">
        <f t="shared" si="13"/>
        <v>44345.03475301774</v>
      </c>
      <c r="AD14" s="127"/>
      <c r="AE14" s="125"/>
      <c r="AF14" s="125"/>
      <c r="AG14" s="125"/>
      <c r="AH14" s="125"/>
      <c r="AI14" s="125"/>
      <c r="AJ14" s="125"/>
      <c r="AK14" s="125">
        <v>4564.24</v>
      </c>
      <c r="AL14" s="125"/>
      <c r="AM14" s="125"/>
      <c r="AN14" s="125"/>
      <c r="AO14" s="125"/>
      <c r="AP14" s="195">
        <f t="shared" si="14"/>
        <v>4564.24</v>
      </c>
      <c r="AQ14" s="197">
        <f t="shared" si="15"/>
        <v>62968.02475301774</v>
      </c>
    </row>
    <row r="15" spans="1:43" s="35" customFormat="1" ht="9.75">
      <c r="A15" s="10">
        <v>9</v>
      </c>
      <c r="B15" s="9" t="s">
        <v>167</v>
      </c>
      <c r="C15" s="123">
        <v>3085.8</v>
      </c>
      <c r="D15" s="125"/>
      <c r="E15" s="125"/>
      <c r="F15" s="125"/>
      <c r="G15" s="125"/>
      <c r="H15" s="125"/>
      <c r="I15" s="125"/>
      <c r="J15" s="125">
        <v>24149.15</v>
      </c>
      <c r="K15" s="125"/>
      <c r="L15" s="125"/>
      <c r="M15" s="125"/>
      <c r="N15" s="125"/>
      <c r="O15" s="125">
        <v>6240</v>
      </c>
      <c r="P15" s="194">
        <f t="shared" si="0"/>
        <v>30389.15</v>
      </c>
      <c r="Q15" s="127">
        <f t="shared" si="1"/>
        <v>3820.5042253796055</v>
      </c>
      <c r="R15" s="125">
        <f t="shared" si="2"/>
        <v>3820.5041395090448</v>
      </c>
      <c r="S15" s="125">
        <f t="shared" si="3"/>
        <v>3729.232119013017</v>
      </c>
      <c r="T15" s="125">
        <f t="shared" si="4"/>
        <v>3820.5041407534104</v>
      </c>
      <c r="U15" s="125">
        <f t="shared" si="5"/>
        <v>3705.929247177715</v>
      </c>
      <c r="V15" s="125">
        <f t="shared" si="6"/>
        <v>3820.485624883528</v>
      </c>
      <c r="W15" s="125">
        <f t="shared" si="7"/>
        <v>3820.504286014243</v>
      </c>
      <c r="X15" s="125">
        <f t="shared" si="8"/>
        <v>3820.5042000939698</v>
      </c>
      <c r="Y15" s="125">
        <f t="shared" si="9"/>
        <v>3765.366028002647</v>
      </c>
      <c r="Z15" s="125">
        <f t="shared" si="10"/>
        <v>3683.101297117065</v>
      </c>
      <c r="AA15" s="125">
        <f t="shared" si="11"/>
        <v>3820.504173882188</v>
      </c>
      <c r="AB15" s="125">
        <f t="shared" si="12"/>
        <v>3747.191787111206</v>
      </c>
      <c r="AC15" s="195">
        <f t="shared" si="13"/>
        <v>45374.33126893764</v>
      </c>
      <c r="AD15" s="127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95">
        <f t="shared" si="14"/>
        <v>0</v>
      </c>
      <c r="AQ15" s="197">
        <f t="shared" si="15"/>
        <v>75763.48126893764</v>
      </c>
    </row>
    <row r="16" spans="1:43" s="35" customFormat="1" ht="9.75">
      <c r="A16" s="10">
        <v>10</v>
      </c>
      <c r="B16" s="9" t="s">
        <v>168</v>
      </c>
      <c r="C16" s="123">
        <v>1939.7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94">
        <f t="shared" si="0"/>
        <v>0</v>
      </c>
      <c r="Q16" s="127">
        <f t="shared" si="1"/>
        <v>2401.527009517409</v>
      </c>
      <c r="R16" s="125">
        <f t="shared" si="2"/>
        <v>2401.5269555401173</v>
      </c>
      <c r="S16" s="125">
        <f t="shared" si="3"/>
        <v>2344.1543655614587</v>
      </c>
      <c r="T16" s="125">
        <f t="shared" si="4"/>
        <v>2401.526956322312</v>
      </c>
      <c r="U16" s="125">
        <f t="shared" si="5"/>
        <v>2329.5064361755826</v>
      </c>
      <c r="V16" s="125">
        <f t="shared" si="6"/>
        <v>2401.515317449796</v>
      </c>
      <c r="W16" s="125">
        <f t="shared" si="7"/>
        <v>2401.5270476316764</v>
      </c>
      <c r="X16" s="125">
        <f t="shared" si="8"/>
        <v>2401.5269936231357</v>
      </c>
      <c r="Y16" s="125">
        <f t="shared" si="9"/>
        <v>2366.8677440264223</v>
      </c>
      <c r="Z16" s="125">
        <f t="shared" si="10"/>
        <v>2315.157037402933</v>
      </c>
      <c r="AA16" s="125">
        <f t="shared" si="11"/>
        <v>2401.526977146698</v>
      </c>
      <c r="AB16" s="125">
        <f t="shared" si="12"/>
        <v>2355.4436157429536</v>
      </c>
      <c r="AC16" s="195">
        <f t="shared" si="13"/>
        <v>28521.80645614049</v>
      </c>
      <c r="AD16" s="127"/>
      <c r="AE16" s="125"/>
      <c r="AF16" s="125"/>
      <c r="AG16" s="125"/>
      <c r="AH16" s="125"/>
      <c r="AI16" s="125"/>
      <c r="AJ16" s="125"/>
      <c r="AK16" s="125">
        <v>4564.24</v>
      </c>
      <c r="AL16" s="125"/>
      <c r="AM16" s="125"/>
      <c r="AN16" s="125"/>
      <c r="AO16" s="125"/>
      <c r="AP16" s="195">
        <f t="shared" si="14"/>
        <v>4564.24</v>
      </c>
      <c r="AQ16" s="197">
        <f t="shared" si="15"/>
        <v>33086.04645614049</v>
      </c>
    </row>
    <row r="17" spans="1:43" s="43" customFormat="1" ht="10.5" thickBot="1">
      <c r="A17" s="23">
        <v>10</v>
      </c>
      <c r="B17" s="12" t="s">
        <v>3</v>
      </c>
      <c r="C17" s="124">
        <f aca="true" t="shared" si="16" ref="C17:AC17">SUM(C7:C16)</f>
        <v>37040.909999999996</v>
      </c>
      <c r="D17" s="126">
        <f>SUM(D7:D16)</f>
        <v>0</v>
      </c>
      <c r="E17" s="126">
        <f aca="true" t="shared" si="17" ref="E17:P17">SUM(E7:E16)</f>
        <v>0</v>
      </c>
      <c r="F17" s="126">
        <f t="shared" si="17"/>
        <v>7818.75</v>
      </c>
      <c r="G17" s="126">
        <f t="shared" si="17"/>
        <v>12407.689999999999</v>
      </c>
      <c r="H17" s="126">
        <f t="shared" si="17"/>
        <v>2503.48</v>
      </c>
      <c r="I17" s="126">
        <f t="shared" si="17"/>
        <v>0</v>
      </c>
      <c r="J17" s="126">
        <f t="shared" si="17"/>
        <v>244306.69999999998</v>
      </c>
      <c r="K17" s="126">
        <f t="shared" si="17"/>
        <v>5721.31</v>
      </c>
      <c r="L17" s="126">
        <f t="shared" si="17"/>
        <v>0</v>
      </c>
      <c r="M17" s="126">
        <f t="shared" si="17"/>
        <v>0</v>
      </c>
      <c r="N17" s="126">
        <f t="shared" si="17"/>
        <v>0</v>
      </c>
      <c r="O17" s="126">
        <f t="shared" si="17"/>
        <v>31200</v>
      </c>
      <c r="P17" s="126">
        <f t="shared" si="17"/>
        <v>303957.93</v>
      </c>
      <c r="Q17" s="128">
        <f t="shared" si="16"/>
        <v>45860.05352482523</v>
      </c>
      <c r="R17" s="161">
        <f t="shared" si="16"/>
        <v>45860.05249406377</v>
      </c>
      <c r="S17" s="161">
        <f t="shared" si="16"/>
        <v>44764.45372009542</v>
      </c>
      <c r="T17" s="161">
        <f t="shared" si="16"/>
        <v>45860.052509000714</v>
      </c>
      <c r="U17" s="177">
        <f t="shared" si="16"/>
        <v>44484.73384894597</v>
      </c>
      <c r="V17" s="177">
        <f t="shared" si="16"/>
        <v>45859.8302506982</v>
      </c>
      <c r="W17" s="161">
        <f t="shared" si="16"/>
        <v>45860.05425266312</v>
      </c>
      <c r="X17" s="161">
        <f t="shared" si="16"/>
        <v>45860.053221304915</v>
      </c>
      <c r="Y17" s="161">
        <f t="shared" si="16"/>
        <v>45198.193065105814</v>
      </c>
      <c r="Z17" s="161">
        <f t="shared" si="16"/>
        <v>44210.714779764225</v>
      </c>
      <c r="AA17" s="161">
        <f t="shared" si="16"/>
        <v>45860.052906667464</v>
      </c>
      <c r="AB17" s="161">
        <f t="shared" si="16"/>
        <v>44980.03556261759</v>
      </c>
      <c r="AC17" s="196">
        <f t="shared" si="16"/>
        <v>544658.2801357524</v>
      </c>
      <c r="AD17" s="128">
        <f>SUM(AD7:AD16)</f>
        <v>0</v>
      </c>
      <c r="AE17" s="161">
        <f>SUM(AE7:AE16)</f>
        <v>9128.47</v>
      </c>
      <c r="AF17" s="161">
        <f aca="true" t="shared" si="18" ref="AF17:AP17">SUM(AF7:AF16)</f>
        <v>0</v>
      </c>
      <c r="AG17" s="161">
        <f t="shared" si="18"/>
        <v>24646.88</v>
      </c>
      <c r="AH17" s="161">
        <f t="shared" si="18"/>
        <v>0</v>
      </c>
      <c r="AI17" s="161">
        <f t="shared" si="18"/>
        <v>0</v>
      </c>
      <c r="AJ17" s="161">
        <f t="shared" si="18"/>
        <v>4564.24</v>
      </c>
      <c r="AK17" s="161">
        <f t="shared" si="18"/>
        <v>9128.48</v>
      </c>
      <c r="AL17" s="161">
        <f t="shared" si="18"/>
        <v>0</v>
      </c>
      <c r="AM17" s="161">
        <f t="shared" si="18"/>
        <v>0</v>
      </c>
      <c r="AN17" s="161">
        <f t="shared" si="18"/>
        <v>0</v>
      </c>
      <c r="AO17" s="161">
        <f t="shared" si="18"/>
        <v>0</v>
      </c>
      <c r="AP17" s="196">
        <f t="shared" si="18"/>
        <v>47468.06999999999</v>
      </c>
      <c r="AQ17" s="198">
        <f>SUM(AQ7:AQ16)</f>
        <v>896084.2801357524</v>
      </c>
    </row>
    <row r="18" spans="3:20" ht="12.7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5"/>
      <c r="S18" s="45"/>
      <c r="T18" s="45"/>
    </row>
    <row r="19" spans="3:20" ht="12.75">
      <c r="C19" s="44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45"/>
      <c r="R19" s="45"/>
      <c r="S19" s="45"/>
      <c r="T19" s="45"/>
    </row>
    <row r="20" spans="1:46" ht="12.75">
      <c r="A20" s="51"/>
      <c r="B20" s="116"/>
      <c r="C20" s="115"/>
      <c r="D20" s="115"/>
      <c r="E20" s="115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</row>
    <row r="21" spans="1:10" ht="12.75">
      <c r="A21" s="51"/>
      <c r="B21" s="168"/>
      <c r="C21" s="183"/>
      <c r="D21" s="115"/>
      <c r="E21" s="115"/>
      <c r="J21" s="175"/>
    </row>
    <row r="22" spans="1:43" ht="12.75">
      <c r="A22" s="51"/>
      <c r="B22" s="168" t="s">
        <v>212</v>
      </c>
      <c r="C22" s="240" t="s">
        <v>211</v>
      </c>
      <c r="D22" s="240"/>
      <c r="E22" s="240"/>
      <c r="F22" s="240"/>
      <c r="G22" s="240"/>
      <c r="H22" s="240"/>
      <c r="I22" s="240"/>
      <c r="J22" s="184">
        <v>7818.75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</row>
    <row r="23" spans="1:43" ht="12.75" customHeight="1">
      <c r="A23" s="51"/>
      <c r="B23" s="171" t="s">
        <v>162</v>
      </c>
      <c r="C23" s="240" t="s">
        <v>218</v>
      </c>
      <c r="D23" s="240"/>
      <c r="E23" s="240"/>
      <c r="F23" s="240"/>
      <c r="G23" s="240"/>
      <c r="H23" s="240"/>
      <c r="I23" s="240"/>
      <c r="J23" s="173">
        <v>856.49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</row>
    <row r="24" spans="1:47" ht="12.75" customHeight="1">
      <c r="A24" s="51"/>
      <c r="B24" s="171" t="s">
        <v>165</v>
      </c>
      <c r="C24" s="240" t="s">
        <v>219</v>
      </c>
      <c r="D24" s="240"/>
      <c r="E24" s="240"/>
      <c r="F24" s="240"/>
      <c r="G24" s="240"/>
      <c r="H24" s="240"/>
      <c r="I24" s="240"/>
      <c r="J24" s="173">
        <v>4492.94</v>
      </c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</row>
    <row r="25" spans="1:50" ht="12.75" customHeight="1">
      <c r="A25" s="51"/>
      <c r="B25" s="116" t="s">
        <v>163</v>
      </c>
      <c r="C25" s="241" t="s">
        <v>227</v>
      </c>
      <c r="D25" s="241"/>
      <c r="E25" s="241"/>
      <c r="F25" s="241"/>
      <c r="G25" s="241"/>
      <c r="H25" s="241"/>
      <c r="I25" s="241"/>
      <c r="J25" s="173">
        <v>7058.26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</row>
    <row r="26" spans="2:45" ht="12.75">
      <c r="B26" s="171" t="s">
        <v>162</v>
      </c>
      <c r="C26" s="240" t="s">
        <v>240</v>
      </c>
      <c r="D26" s="240"/>
      <c r="E26" s="240"/>
      <c r="F26" s="240"/>
      <c r="G26" s="240"/>
      <c r="H26" s="240"/>
      <c r="I26" s="240"/>
      <c r="J26" s="173">
        <v>2503.48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2:43" ht="12.75" customHeight="1">
      <c r="B27" s="171" t="s">
        <v>164</v>
      </c>
      <c r="C27" s="240" t="s">
        <v>264</v>
      </c>
      <c r="D27" s="240"/>
      <c r="E27" s="240"/>
      <c r="F27" s="240"/>
      <c r="G27" s="240"/>
      <c r="H27" s="240"/>
      <c r="I27" s="240"/>
      <c r="J27" s="173">
        <v>43506.77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</row>
    <row r="28" spans="2:45" ht="12.75" customHeight="1">
      <c r="B28" s="116" t="s">
        <v>269</v>
      </c>
      <c r="C28" s="240" t="s">
        <v>265</v>
      </c>
      <c r="D28" s="240"/>
      <c r="E28" s="240"/>
      <c r="F28" s="240"/>
      <c r="G28" s="240"/>
      <c r="H28" s="240"/>
      <c r="I28" s="240"/>
      <c r="J28" s="173">
        <v>4110.06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</row>
    <row r="29" spans="2:43" ht="24" customHeight="1">
      <c r="B29" s="171" t="s">
        <v>163</v>
      </c>
      <c r="C29" s="240" t="s">
        <v>276</v>
      </c>
      <c r="D29" s="240"/>
      <c r="E29" s="240"/>
      <c r="F29" s="240"/>
      <c r="G29" s="240"/>
      <c r="H29" s="240"/>
      <c r="I29" s="240"/>
      <c r="J29" s="173">
        <v>5721.31</v>
      </c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</row>
    <row r="30" spans="2:10" ht="12.75">
      <c r="B30" s="187" t="s">
        <v>371</v>
      </c>
      <c r="C30" s="239" t="s">
        <v>370</v>
      </c>
      <c r="D30" s="239"/>
      <c r="E30" s="239"/>
      <c r="F30" s="239"/>
      <c r="G30" s="239"/>
      <c r="H30" s="239"/>
      <c r="I30" s="239"/>
      <c r="J30" s="175">
        <v>33685.78</v>
      </c>
    </row>
    <row r="31" spans="2:10" ht="12.75">
      <c r="B31" s="187" t="s">
        <v>269</v>
      </c>
      <c r="C31" s="239" t="s">
        <v>370</v>
      </c>
      <c r="D31" s="239"/>
      <c r="E31" s="239"/>
      <c r="F31" s="239"/>
      <c r="G31" s="239"/>
      <c r="H31" s="239"/>
      <c r="I31" s="239"/>
      <c r="J31" s="175">
        <v>34492.95</v>
      </c>
    </row>
    <row r="32" spans="2:10" ht="12.75">
      <c r="B32" s="187" t="s">
        <v>162</v>
      </c>
      <c r="C32" s="239" t="s">
        <v>370</v>
      </c>
      <c r="D32" s="239"/>
      <c r="E32" s="239"/>
      <c r="F32" s="239"/>
      <c r="G32" s="239"/>
      <c r="H32" s="239"/>
      <c r="I32" s="239"/>
      <c r="J32" s="175">
        <v>33860.3</v>
      </c>
    </row>
    <row r="33" spans="2:10" ht="12.75">
      <c r="B33" s="187" t="s">
        <v>163</v>
      </c>
      <c r="C33" s="239" t="s">
        <v>370</v>
      </c>
      <c r="D33" s="239"/>
      <c r="E33" s="239"/>
      <c r="F33" s="239"/>
      <c r="G33" s="239"/>
      <c r="H33" s="239"/>
      <c r="I33" s="239"/>
      <c r="J33" s="175">
        <v>35502.17</v>
      </c>
    </row>
    <row r="34" spans="2:10" ht="12.75">
      <c r="B34" s="187" t="s">
        <v>164</v>
      </c>
      <c r="C34" s="239" t="s">
        <v>370</v>
      </c>
      <c r="D34" s="239"/>
      <c r="E34" s="239"/>
      <c r="F34" s="239"/>
      <c r="G34" s="239"/>
      <c r="H34" s="239"/>
      <c r="I34" s="239"/>
      <c r="J34" s="175">
        <v>34999.52</v>
      </c>
    </row>
    <row r="35" spans="2:10" ht="12.75">
      <c r="B35" s="187" t="s">
        <v>372</v>
      </c>
      <c r="C35" s="239" t="s">
        <v>370</v>
      </c>
      <c r="D35" s="239"/>
      <c r="E35" s="239"/>
      <c r="F35" s="239"/>
      <c r="G35" s="239"/>
      <c r="H35" s="239"/>
      <c r="I35" s="239"/>
      <c r="J35" s="175">
        <v>24149.15</v>
      </c>
    </row>
    <row r="36" spans="2:10" ht="12.75">
      <c r="B36" s="190"/>
      <c r="C36" s="239"/>
      <c r="D36" s="239"/>
      <c r="E36" s="239"/>
      <c r="F36" s="239"/>
      <c r="G36" s="239"/>
      <c r="H36" s="239"/>
      <c r="I36" s="239"/>
      <c r="J36" s="193"/>
    </row>
    <row r="37" spans="2:10" ht="12.75">
      <c r="B37" s="190"/>
      <c r="C37" s="238"/>
      <c r="D37" s="238"/>
      <c r="E37" s="238"/>
      <c r="F37" s="238"/>
      <c r="G37" s="238"/>
      <c r="H37" s="238"/>
      <c r="I37" s="238"/>
      <c r="J37" s="193"/>
    </row>
    <row r="38" spans="2:10" ht="12.75">
      <c r="B38" s="190"/>
      <c r="C38" s="238"/>
      <c r="D38" s="238"/>
      <c r="E38" s="238"/>
      <c r="F38" s="238"/>
      <c r="G38" s="238"/>
      <c r="H38" s="238"/>
      <c r="I38" s="238"/>
      <c r="J38" s="193"/>
    </row>
    <row r="39" spans="2:10" ht="12.75">
      <c r="B39" s="190"/>
      <c r="C39" s="238"/>
      <c r="D39" s="238"/>
      <c r="E39" s="238"/>
      <c r="F39" s="238"/>
      <c r="G39" s="238"/>
      <c r="H39" s="238"/>
      <c r="I39" s="238"/>
      <c r="J39" s="193"/>
    </row>
    <row r="40" spans="2:10" ht="12.75">
      <c r="B40" s="190"/>
      <c r="C40" s="238"/>
      <c r="D40" s="238"/>
      <c r="E40" s="238"/>
      <c r="F40" s="238"/>
      <c r="G40" s="238"/>
      <c r="H40" s="238"/>
      <c r="I40" s="238"/>
      <c r="J40" s="193"/>
    </row>
    <row r="41" spans="2:10" ht="12.75">
      <c r="B41" s="190"/>
      <c r="C41" s="238"/>
      <c r="D41" s="238"/>
      <c r="E41" s="238"/>
      <c r="F41" s="238"/>
      <c r="G41" s="238"/>
      <c r="H41" s="238"/>
      <c r="I41" s="238"/>
      <c r="J41" s="193"/>
    </row>
    <row r="42" spans="2:10" ht="12.75">
      <c r="B42" s="190"/>
      <c r="C42" s="238"/>
      <c r="D42" s="238"/>
      <c r="E42" s="238"/>
      <c r="F42" s="238"/>
      <c r="G42" s="238"/>
      <c r="H42" s="238"/>
      <c r="I42" s="238"/>
      <c r="J42" s="193"/>
    </row>
    <row r="43" spans="2:10" ht="12.75">
      <c r="B43" s="190"/>
      <c r="C43" s="238"/>
      <c r="D43" s="238"/>
      <c r="E43" s="238"/>
      <c r="F43" s="238"/>
      <c r="G43" s="238"/>
      <c r="H43" s="238"/>
      <c r="I43" s="238"/>
      <c r="J43" s="193"/>
    </row>
    <row r="44" spans="2:10" ht="12.75">
      <c r="B44" s="190"/>
      <c r="C44" s="238"/>
      <c r="D44" s="238"/>
      <c r="E44" s="238"/>
      <c r="F44" s="238"/>
      <c r="G44" s="238"/>
      <c r="H44" s="238"/>
      <c r="I44" s="238"/>
      <c r="J44" s="193"/>
    </row>
    <row r="45" spans="2:10" ht="12.75">
      <c r="B45" s="190"/>
      <c r="C45" s="238"/>
      <c r="D45" s="238"/>
      <c r="E45" s="238"/>
      <c r="F45" s="238"/>
      <c r="G45" s="238"/>
      <c r="H45" s="238"/>
      <c r="I45" s="238"/>
      <c r="J45" s="193"/>
    </row>
    <row r="46" spans="2:10" ht="12.75">
      <c r="B46" s="190"/>
      <c r="C46" s="190"/>
      <c r="D46" s="191"/>
      <c r="E46" s="191"/>
      <c r="F46" s="191"/>
      <c r="G46" s="191"/>
      <c r="H46" s="191"/>
      <c r="I46" s="191"/>
      <c r="J46" s="193"/>
    </row>
    <row r="47" spans="2:10" ht="12.75">
      <c r="B47" s="190"/>
      <c r="C47" s="190"/>
      <c r="D47" s="191"/>
      <c r="E47" s="191"/>
      <c r="F47" s="191"/>
      <c r="G47" s="191"/>
      <c r="H47" s="191"/>
      <c r="I47" s="191"/>
      <c r="J47" s="193"/>
    </row>
    <row r="48" spans="2:10" ht="12.75">
      <c r="B48" s="190"/>
      <c r="C48" s="190"/>
      <c r="D48" s="191"/>
      <c r="E48" s="191"/>
      <c r="F48" s="191"/>
      <c r="G48" s="191"/>
      <c r="H48" s="191"/>
      <c r="I48" s="191"/>
      <c r="J48" s="192"/>
    </row>
    <row r="49" spans="2:10" ht="12.75">
      <c r="B49" s="190"/>
      <c r="C49" s="190"/>
      <c r="D49" s="191"/>
      <c r="E49" s="191"/>
      <c r="F49" s="191"/>
      <c r="G49" s="191"/>
      <c r="H49" s="191"/>
      <c r="I49" s="191"/>
      <c r="J49" s="192"/>
    </row>
  </sheetData>
  <sheetProtection/>
  <autoFilter ref="A1:I5"/>
  <mergeCells count="29">
    <mergeCell ref="C28:I28"/>
    <mergeCell ref="A2:AQ2"/>
    <mergeCell ref="AD5:AP5"/>
    <mergeCell ref="Q5:AC5"/>
    <mergeCell ref="A4:I4"/>
    <mergeCell ref="D5:P5"/>
    <mergeCell ref="C22:I22"/>
    <mergeCell ref="C29:I29"/>
    <mergeCell ref="C30:I30"/>
    <mergeCell ref="C31:I31"/>
    <mergeCell ref="C32:I32"/>
    <mergeCell ref="C33:I33"/>
    <mergeCell ref="C23:I23"/>
    <mergeCell ref="C24:I24"/>
    <mergeCell ref="C25:I25"/>
    <mergeCell ref="C26:I26"/>
    <mergeCell ref="C27:I27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Q32"/>
  <sheetViews>
    <sheetView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0" sqref="O10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421875" style="26" customWidth="1"/>
    <col min="4" max="4" width="10.140625" style="0" customWidth="1"/>
    <col min="5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bestFit="1" customWidth="1"/>
    <col min="30" max="41" width="9.28125" style="0" customWidth="1"/>
    <col min="42" max="42" width="10.00390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97" t="s">
        <v>41</v>
      </c>
    </row>
    <row r="6" spans="1:43" ht="12" customHeight="1" thickBot="1">
      <c r="A6" s="15"/>
      <c r="B6" s="16" t="s">
        <v>4</v>
      </c>
      <c r="C6" s="17"/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2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106"/>
    </row>
    <row r="7" spans="1:43" ht="12" customHeight="1">
      <c r="A7" s="18">
        <v>1</v>
      </c>
      <c r="B7" s="33" t="s">
        <v>5</v>
      </c>
      <c r="C7" s="144">
        <v>3308.16</v>
      </c>
      <c r="D7" s="125"/>
      <c r="E7" s="125"/>
      <c r="F7" s="125"/>
      <c r="G7" s="125"/>
      <c r="H7" s="125"/>
      <c r="I7" s="125"/>
      <c r="J7" s="125">
        <v>25889.31</v>
      </c>
      <c r="K7" s="125">
        <v>2803.67</v>
      </c>
      <c r="L7" s="125"/>
      <c r="M7" s="125">
        <v>8533.36</v>
      </c>
      <c r="N7" s="125">
        <v>8222.76</v>
      </c>
      <c r="O7" s="125">
        <f>913.32+6240</f>
        <v>7153.32</v>
      </c>
      <c r="P7" s="194">
        <f>SUM(D7:O7)</f>
        <v>52602.420000000006</v>
      </c>
      <c r="Q7" s="127">
        <f>C7*593690.15/479520.23</f>
        <v>4095.8063575837045</v>
      </c>
      <c r="R7" s="125">
        <f>C7*593686.15/479517.01</f>
        <v>4095.8062655253875</v>
      </c>
      <c r="S7" s="125">
        <f>C7*579500.06/479514.61</f>
        <v>3997.957264512963</v>
      </c>
      <c r="T7" s="125">
        <f>C7*593938.3/479720.67</f>
        <v>4095.8062668594207</v>
      </c>
      <c r="U7" s="125">
        <f>C7*576132.29/479725.57</f>
        <v>3972.9752084851348</v>
      </c>
      <c r="V7" s="125">
        <f>C7*593946.23/479729.4</f>
        <v>4095.786416752444</v>
      </c>
      <c r="W7" s="125">
        <f>C7*594015.27/479782.82</f>
        <v>4095.8064225876196</v>
      </c>
      <c r="X7" s="125">
        <f>C7*594005.55/479774.98</f>
        <v>4095.806330476008</v>
      </c>
      <c r="Y7" s="125">
        <f>C7*585421.9/479766.08</f>
        <v>4036.694950806026</v>
      </c>
      <c r="Z7" s="125">
        <f>C7*572643.93/479776.28</f>
        <v>3948.502296672107</v>
      </c>
      <c r="AA7" s="125">
        <f>C7*588687.52/475479.64</f>
        <v>4095.8063023754285</v>
      </c>
      <c r="AB7" s="125">
        <f>C7*577403.59/475489.94</f>
        <v>4017.211090300669</v>
      </c>
      <c r="AC7" s="195">
        <f>SUM(Q7:AB7)</f>
        <v>48643.965172936914</v>
      </c>
      <c r="AD7" s="127"/>
      <c r="AE7" s="125"/>
      <c r="AF7" s="125"/>
      <c r="AG7" s="125"/>
      <c r="AH7" s="125"/>
      <c r="AI7" s="125"/>
      <c r="AJ7" s="125"/>
      <c r="AK7" s="125">
        <v>4564.24</v>
      </c>
      <c r="AL7" s="125"/>
      <c r="AM7" s="125"/>
      <c r="AN7" s="125"/>
      <c r="AO7" s="125"/>
      <c r="AP7" s="195">
        <f>SUM(AD7:AO7)</f>
        <v>4564.24</v>
      </c>
      <c r="AQ7" s="210">
        <f>P7+AC7+AP7</f>
        <v>105810.62517293693</v>
      </c>
    </row>
    <row r="8" spans="1:43" ht="12" customHeight="1">
      <c r="A8" s="18">
        <v>2</v>
      </c>
      <c r="B8" s="143" t="s">
        <v>181</v>
      </c>
      <c r="C8" s="144">
        <v>3164.5</v>
      </c>
      <c r="D8" s="125"/>
      <c r="E8" s="125"/>
      <c r="F8" s="125"/>
      <c r="G8" s="125"/>
      <c r="H8" s="125"/>
      <c r="I8" s="125"/>
      <c r="J8" s="125">
        <v>24765.05</v>
      </c>
      <c r="K8" s="125"/>
      <c r="L8" s="125"/>
      <c r="M8" s="125"/>
      <c r="N8" s="125"/>
      <c r="O8" s="125">
        <v>919.65</v>
      </c>
      <c r="P8" s="194">
        <f>SUM(D8:O8)</f>
        <v>25684.7</v>
      </c>
      <c r="Q8" s="127">
        <f>C8*593690.15/479520.23</f>
        <v>3917.942064039718</v>
      </c>
      <c r="R8" s="125">
        <f>C8*593686.15/479517.01</f>
        <v>3917.9419759791213</v>
      </c>
      <c r="S8" s="125">
        <f>C8*579500.06/479514.61</f>
        <v>3824.3421610657497</v>
      </c>
      <c r="T8" s="125">
        <f>C8*593938.3/479720.67</f>
        <v>3917.941977255223</v>
      </c>
      <c r="U8" s="125">
        <f>C8*576132.29/479725.57</f>
        <v>3800.444974623721</v>
      </c>
      <c r="V8" s="125">
        <f>C8*593946.23/479729.4</f>
        <v>3917.9229891580544</v>
      </c>
      <c r="W8" s="125">
        <f>C8*594015.27/479782.82</f>
        <v>3917.942126220776</v>
      </c>
      <c r="X8" s="125">
        <f>C8*594005.55/479774.98</f>
        <v>3917.942038109199</v>
      </c>
      <c r="Y8" s="125">
        <f>C8*585421.9/479766.08</f>
        <v>3861.3976264224434</v>
      </c>
      <c r="Z8" s="125">
        <f>C8*572643.93/479776.28</f>
        <v>3777.0348223238548</v>
      </c>
      <c r="AA8" s="125">
        <f>C8*588687.52/475479.64</f>
        <v>3917.942011228914</v>
      </c>
      <c r="AB8" s="125">
        <f>C8*577403.59/475489.94</f>
        <v>3842.7598711236665</v>
      </c>
      <c r="AC8" s="195">
        <f>SUM(Q8:AB8)</f>
        <v>46531.554637550435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>SUM(AD8:AO8)</f>
        <v>0</v>
      </c>
      <c r="AQ8" s="210">
        <f>P8+AC8+AP8</f>
        <v>72216.25463755043</v>
      </c>
    </row>
    <row r="9" spans="1:43" ht="12" customHeight="1">
      <c r="A9" s="18">
        <v>3</v>
      </c>
      <c r="B9" s="9" t="s">
        <v>6</v>
      </c>
      <c r="C9" s="123">
        <v>4286.5</v>
      </c>
      <c r="D9" s="125"/>
      <c r="E9" s="125"/>
      <c r="F9" s="125">
        <f>5164.43</f>
        <v>5164.43</v>
      </c>
      <c r="G9" s="125"/>
      <c r="H9" s="125"/>
      <c r="I9" s="125">
        <v>2228.47</v>
      </c>
      <c r="J9" s="125">
        <v>33548.83</v>
      </c>
      <c r="K9" s="125"/>
      <c r="L9" s="125"/>
      <c r="M9" s="125"/>
      <c r="N9" s="125"/>
      <c r="O9" s="125">
        <f>913.32+6240</f>
        <v>7153.32</v>
      </c>
      <c r="P9" s="194">
        <f>SUM(D9:O9)</f>
        <v>48095.05</v>
      </c>
      <c r="Q9" s="127">
        <f>C9*593690.15/479520.23</f>
        <v>5307.081263234712</v>
      </c>
      <c r="R9" s="125">
        <f>C9*593686.15/479517.01</f>
        <v>5307.081143951494</v>
      </c>
      <c r="S9" s="125">
        <f>C9*579500.06/479514.61</f>
        <v>5180.294730102176</v>
      </c>
      <c r="T9" s="125">
        <f>C9*593938.3/479720.67</f>
        <v>5307.081145680048</v>
      </c>
      <c r="U9" s="125">
        <f>C9*576132.29/479725.57</f>
        <v>5147.9245958996935</v>
      </c>
      <c r="V9" s="125">
        <f>C9*593946.23/479729.4</f>
        <v>5307.055425193869</v>
      </c>
      <c r="W9" s="125">
        <f>C9*594015.27/479782.82</f>
        <v>5307.0813474625875</v>
      </c>
      <c r="X9" s="125">
        <f>C9*594005.55/479774.98</f>
        <v>5307.081228110312</v>
      </c>
      <c r="Y9" s="125">
        <f>C9*585421.9/479766.08</f>
        <v>5230.488521301881</v>
      </c>
      <c r="Z9" s="125">
        <f>C9*572643.93/479776.28</f>
        <v>5116.214177876822</v>
      </c>
      <c r="AA9" s="125">
        <f>C9*588687.52/475479.64</f>
        <v>5307.081191699396</v>
      </c>
      <c r="AB9" s="125">
        <f>C9*577403.59/475489.94</f>
        <v>5205.24259363931</v>
      </c>
      <c r="AC9" s="195">
        <f>SUM(Q9:AB9)</f>
        <v>63029.70736415231</v>
      </c>
      <c r="AD9" s="127"/>
      <c r="AE9" s="125"/>
      <c r="AF9" s="125"/>
      <c r="AG9" s="125"/>
      <c r="AH9" s="125"/>
      <c r="AI9" s="125">
        <v>9128.47</v>
      </c>
      <c r="AJ9" s="125"/>
      <c r="AK9" s="125"/>
      <c r="AL9" s="125"/>
      <c r="AM9" s="125"/>
      <c r="AN9" s="125"/>
      <c r="AO9" s="125"/>
      <c r="AP9" s="195">
        <f>SUM(AD9:AO9)</f>
        <v>9128.47</v>
      </c>
      <c r="AQ9" s="210">
        <f>P9+AC9+AP9</f>
        <v>120253.22736415232</v>
      </c>
    </row>
    <row r="10" spans="1:43" ht="12" customHeight="1">
      <c r="A10" s="19">
        <v>4</v>
      </c>
      <c r="B10" s="9" t="s">
        <v>7</v>
      </c>
      <c r="C10" s="123">
        <v>2730.6</v>
      </c>
      <c r="D10" s="125">
        <f>2640.76</f>
        <v>2640.76</v>
      </c>
      <c r="E10" s="125"/>
      <c r="F10" s="125">
        <v>5164.43</v>
      </c>
      <c r="G10" s="125"/>
      <c r="H10" s="125">
        <v>710.24</v>
      </c>
      <c r="I10" s="125"/>
      <c r="J10" s="125">
        <v>21369.39</v>
      </c>
      <c r="K10" s="125"/>
      <c r="L10" s="125"/>
      <c r="M10" s="125"/>
      <c r="N10" s="125"/>
      <c r="O10" s="125">
        <v>721.49</v>
      </c>
      <c r="P10" s="194">
        <f>SUM(D10:O10)</f>
        <v>30606.31</v>
      </c>
      <c r="Q10" s="127">
        <f>C10*593690.15/479520.23</f>
        <v>3380.733954832312</v>
      </c>
      <c r="R10" s="125">
        <f>C10*593686.15/479517.01</f>
        <v>3380.733878846133</v>
      </c>
      <c r="S10" s="125">
        <f>C10*579500.06/479514.61</f>
        <v>3299.967990205763</v>
      </c>
      <c r="T10" s="125">
        <f>C10*593938.3/479720.67</f>
        <v>3380.733879947262</v>
      </c>
      <c r="U10" s="125">
        <f>C10*576132.29/479725.57</f>
        <v>3279.34746332992</v>
      </c>
      <c r="V10" s="125">
        <f>C10*593946.23/479729.4</f>
        <v>3380.717495400532</v>
      </c>
      <c r="W10" s="125">
        <f>C10*594015.27/479782.82</f>
        <v>3380.7340084874236</v>
      </c>
      <c r="X10" s="125">
        <f>C10*594005.55/479774.98</f>
        <v>3380.7339324572536</v>
      </c>
      <c r="Y10" s="125">
        <f>C10*585421.9/479766.08</f>
        <v>3331.9426003188887</v>
      </c>
      <c r="Z10" s="125">
        <f>C10*572643.93/479776.28</f>
        <v>3259.147190974093</v>
      </c>
      <c r="AA10" s="125">
        <f>C10*588687.52/475479.64</f>
        <v>3380.7339092626553</v>
      </c>
      <c r="AB10" s="125">
        <f>C10*577403.59/475489.94</f>
        <v>3315.8603583789804</v>
      </c>
      <c r="AC10" s="195">
        <f>SUM(Q10:AB10)</f>
        <v>40151.38666244122</v>
      </c>
      <c r="AD10" s="127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>SUM(AD10:AO10)</f>
        <v>0</v>
      </c>
      <c r="AQ10" s="210">
        <f>P10+AC10+AP10</f>
        <v>70757.69666244122</v>
      </c>
    </row>
    <row r="11" spans="1:43" ht="12" customHeight="1" thickBot="1">
      <c r="A11" s="20">
        <v>4</v>
      </c>
      <c r="B11" s="14" t="s">
        <v>3</v>
      </c>
      <c r="C11" s="145">
        <f aca="true" t="shared" si="0" ref="C11:AQ11">SUM(C7:C10)</f>
        <v>13489.76</v>
      </c>
      <c r="D11" s="146">
        <f t="shared" si="0"/>
        <v>2640.76</v>
      </c>
      <c r="E11" s="146">
        <f t="shared" si="0"/>
        <v>0</v>
      </c>
      <c r="F11" s="146">
        <f t="shared" si="0"/>
        <v>10328.86</v>
      </c>
      <c r="G11" s="146">
        <f t="shared" si="0"/>
        <v>0</v>
      </c>
      <c r="H11" s="146">
        <f t="shared" si="0"/>
        <v>710.24</v>
      </c>
      <c r="I11" s="146">
        <f t="shared" si="0"/>
        <v>2228.47</v>
      </c>
      <c r="J11" s="146">
        <f t="shared" si="0"/>
        <v>105572.58</v>
      </c>
      <c r="K11" s="146">
        <f t="shared" si="0"/>
        <v>2803.67</v>
      </c>
      <c r="L11" s="146">
        <f t="shared" si="0"/>
        <v>0</v>
      </c>
      <c r="M11" s="146">
        <f t="shared" si="0"/>
        <v>8533.36</v>
      </c>
      <c r="N11" s="146">
        <f t="shared" si="0"/>
        <v>8222.76</v>
      </c>
      <c r="O11" s="146">
        <f t="shared" si="0"/>
        <v>15947.779999999999</v>
      </c>
      <c r="P11" s="208">
        <f t="shared" si="0"/>
        <v>156988.48</v>
      </c>
      <c r="Q11" s="147">
        <f t="shared" si="0"/>
        <v>16701.563639690445</v>
      </c>
      <c r="R11" s="164">
        <f t="shared" si="0"/>
        <v>16701.563264302138</v>
      </c>
      <c r="S11" s="164">
        <f t="shared" si="0"/>
        <v>16302.562145886652</v>
      </c>
      <c r="T11" s="164">
        <f t="shared" si="0"/>
        <v>16701.563269741957</v>
      </c>
      <c r="U11" s="164">
        <f t="shared" si="0"/>
        <v>16200.692242338468</v>
      </c>
      <c r="V11" s="164">
        <f t="shared" si="0"/>
        <v>16701.482326504898</v>
      </c>
      <c r="W11" s="164">
        <f t="shared" si="0"/>
        <v>16701.563904758408</v>
      </c>
      <c r="X11" s="164">
        <f t="shared" si="0"/>
        <v>16701.563529152772</v>
      </c>
      <c r="Y11" s="164">
        <f t="shared" si="0"/>
        <v>16460.52369884924</v>
      </c>
      <c r="Z11" s="164">
        <f t="shared" si="0"/>
        <v>16100.898487846876</v>
      </c>
      <c r="AA11" s="164">
        <f t="shared" si="0"/>
        <v>16701.563414566393</v>
      </c>
      <c r="AB11" s="164">
        <f t="shared" si="0"/>
        <v>16381.073913442626</v>
      </c>
      <c r="AC11" s="209">
        <f t="shared" si="0"/>
        <v>198356.61383708086</v>
      </c>
      <c r="AD11" s="147">
        <f t="shared" si="0"/>
        <v>0</v>
      </c>
      <c r="AE11" s="164">
        <f t="shared" si="0"/>
        <v>0</v>
      </c>
      <c r="AF11" s="164">
        <f t="shared" si="0"/>
        <v>0</v>
      </c>
      <c r="AG11" s="164">
        <f t="shared" si="0"/>
        <v>0</v>
      </c>
      <c r="AH11" s="164">
        <f t="shared" si="0"/>
        <v>0</v>
      </c>
      <c r="AI11" s="164">
        <f t="shared" si="0"/>
        <v>9128.47</v>
      </c>
      <c r="AJ11" s="164">
        <f t="shared" si="0"/>
        <v>0</v>
      </c>
      <c r="AK11" s="164">
        <f t="shared" si="0"/>
        <v>4564.24</v>
      </c>
      <c r="AL11" s="164">
        <f t="shared" si="0"/>
        <v>0</v>
      </c>
      <c r="AM11" s="164">
        <f t="shared" si="0"/>
        <v>0</v>
      </c>
      <c r="AN11" s="164">
        <f t="shared" si="0"/>
        <v>0</v>
      </c>
      <c r="AO11" s="164">
        <f t="shared" si="0"/>
        <v>0</v>
      </c>
      <c r="AP11" s="209">
        <f t="shared" si="0"/>
        <v>13692.71</v>
      </c>
      <c r="AQ11" s="211">
        <f t="shared" si="0"/>
        <v>369037.80383708095</v>
      </c>
    </row>
    <row r="13" spans="1:43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spans="1:9" ht="12.75">
      <c r="A14" s="51"/>
      <c r="B14" s="117"/>
      <c r="C14" s="115"/>
      <c r="D14" s="115"/>
      <c r="E14" s="115"/>
      <c r="F14" s="51"/>
      <c r="G14" s="51"/>
      <c r="H14" s="51"/>
      <c r="I14" s="51"/>
    </row>
    <row r="15" spans="1:12" ht="12.75">
      <c r="A15" s="51"/>
      <c r="B15" s="117"/>
      <c r="C15" s="248"/>
      <c r="D15" s="248"/>
      <c r="E15" s="248"/>
      <c r="F15" s="248"/>
      <c r="G15" s="248"/>
      <c r="H15" s="248"/>
      <c r="I15" s="248"/>
      <c r="J15" s="248"/>
      <c r="K15" s="248"/>
      <c r="L15" s="156"/>
    </row>
    <row r="16" spans="1:43" ht="12.75">
      <c r="A16" s="51"/>
      <c r="B16" s="171" t="s">
        <v>7</v>
      </c>
      <c r="C16" s="240" t="s">
        <v>197</v>
      </c>
      <c r="D16" s="240"/>
      <c r="E16" s="240"/>
      <c r="F16" s="240"/>
      <c r="G16" s="240"/>
      <c r="H16" s="240"/>
      <c r="I16" s="240"/>
      <c r="J16" s="240"/>
      <c r="K16" s="240"/>
      <c r="L16" s="173">
        <v>2640.76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</row>
    <row r="17" spans="1:12" ht="12.75">
      <c r="A17" s="51"/>
      <c r="B17" s="187" t="s">
        <v>6</v>
      </c>
      <c r="C17" s="239" t="s">
        <v>215</v>
      </c>
      <c r="D17" s="239"/>
      <c r="E17" s="239"/>
      <c r="F17" s="239"/>
      <c r="G17" s="239"/>
      <c r="H17" s="239"/>
      <c r="I17" s="239"/>
      <c r="J17" s="239"/>
      <c r="K17" s="239"/>
      <c r="L17" s="175">
        <v>5164.43</v>
      </c>
    </row>
    <row r="18" spans="1:12" ht="12.75">
      <c r="A18" s="51"/>
      <c r="B18" s="187" t="s">
        <v>7</v>
      </c>
      <c r="C18" s="252" t="s">
        <v>215</v>
      </c>
      <c r="D18" s="252"/>
      <c r="E18" s="252"/>
      <c r="F18" s="252"/>
      <c r="G18" s="252"/>
      <c r="H18" s="252"/>
      <c r="I18" s="252"/>
      <c r="J18" s="252"/>
      <c r="K18" s="252"/>
      <c r="L18" s="48">
        <v>5164.43</v>
      </c>
    </row>
    <row r="19" spans="2:12" ht="12.75">
      <c r="B19" s="75" t="s">
        <v>7</v>
      </c>
      <c r="C19" s="252" t="s">
        <v>238</v>
      </c>
      <c r="D19" s="252"/>
      <c r="E19" s="252"/>
      <c r="F19" s="252"/>
      <c r="G19" s="252"/>
      <c r="H19" s="252"/>
      <c r="I19" s="252"/>
      <c r="J19" s="252"/>
      <c r="K19" s="252"/>
      <c r="L19" s="48">
        <v>710.24</v>
      </c>
    </row>
    <row r="20" spans="2:12" ht="12.75">
      <c r="B20" s="46" t="s">
        <v>6</v>
      </c>
      <c r="C20" s="252" t="s">
        <v>251</v>
      </c>
      <c r="D20" s="252"/>
      <c r="E20" s="252"/>
      <c r="F20" s="252"/>
      <c r="G20" s="252"/>
      <c r="H20" s="252"/>
      <c r="I20" s="252"/>
      <c r="J20" s="252"/>
      <c r="K20" s="252"/>
      <c r="L20" s="225">
        <v>2228.47</v>
      </c>
    </row>
    <row r="21" spans="2:12" ht="12.75">
      <c r="B21" s="46" t="s">
        <v>5</v>
      </c>
      <c r="C21" s="252" t="s">
        <v>272</v>
      </c>
      <c r="D21" s="252"/>
      <c r="E21" s="252"/>
      <c r="F21" s="252"/>
      <c r="G21" s="252"/>
      <c r="H21" s="252"/>
      <c r="I21" s="252"/>
      <c r="J21" s="252"/>
      <c r="K21" s="252"/>
      <c r="L21" s="225">
        <v>2803.67</v>
      </c>
    </row>
    <row r="22" spans="2:12" ht="12.75">
      <c r="B22" s="46" t="s">
        <v>5</v>
      </c>
      <c r="C22" s="252" t="s">
        <v>302</v>
      </c>
      <c r="D22" s="252"/>
      <c r="E22" s="252"/>
      <c r="F22" s="252"/>
      <c r="G22" s="252"/>
      <c r="H22" s="252"/>
      <c r="I22" s="252"/>
      <c r="J22" s="252"/>
      <c r="K22" s="252"/>
      <c r="L22" s="225">
        <v>8533.36</v>
      </c>
    </row>
    <row r="23" spans="2:12" ht="12.75">
      <c r="B23" s="46" t="s">
        <v>5</v>
      </c>
      <c r="C23" s="252" t="s">
        <v>309</v>
      </c>
      <c r="D23" s="252"/>
      <c r="E23" s="252"/>
      <c r="F23" s="252"/>
      <c r="G23" s="252"/>
      <c r="H23" s="252"/>
      <c r="I23" s="252"/>
      <c r="J23" s="252"/>
      <c r="K23" s="252"/>
      <c r="L23" s="225">
        <v>8222.76</v>
      </c>
    </row>
    <row r="24" spans="2:12" ht="12.75">
      <c r="B24" s="46" t="s">
        <v>320</v>
      </c>
      <c r="C24" s="252" t="s">
        <v>321</v>
      </c>
      <c r="D24" s="252"/>
      <c r="E24" s="252"/>
      <c r="F24" s="252"/>
      <c r="G24" s="252"/>
      <c r="H24" s="252"/>
      <c r="I24" s="252"/>
      <c r="J24" s="252"/>
      <c r="K24" s="252"/>
      <c r="L24" s="225">
        <v>913.32</v>
      </c>
    </row>
    <row r="25" spans="2:12" ht="12.75">
      <c r="B25" s="46" t="s">
        <v>322</v>
      </c>
      <c r="C25" s="252" t="s">
        <v>323</v>
      </c>
      <c r="D25" s="252"/>
      <c r="E25" s="252"/>
      <c r="F25" s="252"/>
      <c r="G25" s="252"/>
      <c r="H25" s="252"/>
      <c r="I25" s="252"/>
      <c r="J25" s="252"/>
      <c r="K25" s="252"/>
      <c r="L25" s="225">
        <v>721.49</v>
      </c>
    </row>
    <row r="26" spans="2:12" ht="12.75">
      <c r="B26" s="46" t="s">
        <v>324</v>
      </c>
      <c r="C26" s="252" t="s">
        <v>321</v>
      </c>
      <c r="D26" s="252"/>
      <c r="E26" s="252"/>
      <c r="F26" s="252"/>
      <c r="G26" s="252"/>
      <c r="H26" s="252"/>
      <c r="I26" s="252"/>
      <c r="J26" s="252"/>
      <c r="K26" s="252"/>
      <c r="L26" s="225">
        <v>913.32</v>
      </c>
    </row>
    <row r="27" spans="2:12" ht="12.75">
      <c r="B27" s="46" t="s">
        <v>325</v>
      </c>
      <c r="C27" s="252" t="s">
        <v>326</v>
      </c>
      <c r="D27" s="252"/>
      <c r="E27" s="252"/>
      <c r="F27" s="252"/>
      <c r="G27" s="252"/>
      <c r="H27" s="252"/>
      <c r="I27" s="252"/>
      <c r="J27" s="252"/>
      <c r="K27" s="252"/>
      <c r="L27" s="225">
        <v>919.65</v>
      </c>
    </row>
    <row r="28" spans="2:12" ht="12.75">
      <c r="B28" s="46" t="s">
        <v>5</v>
      </c>
      <c r="C28" s="252" t="s">
        <v>370</v>
      </c>
      <c r="D28" s="252"/>
      <c r="E28" s="252"/>
      <c r="F28" s="252"/>
      <c r="G28" s="252"/>
      <c r="H28" s="252"/>
      <c r="I28" s="252"/>
      <c r="J28" s="252"/>
      <c r="K28" s="252"/>
      <c r="L28" s="225">
        <v>25889.31</v>
      </c>
    </row>
    <row r="29" spans="2:12" ht="12.75">
      <c r="B29" s="46" t="s">
        <v>181</v>
      </c>
      <c r="C29" s="252" t="s">
        <v>370</v>
      </c>
      <c r="D29" s="252"/>
      <c r="E29" s="252"/>
      <c r="F29" s="252"/>
      <c r="G29" s="252"/>
      <c r="H29" s="252"/>
      <c r="I29" s="252"/>
      <c r="J29" s="252"/>
      <c r="K29" s="252"/>
      <c r="L29" s="225">
        <v>24765.05</v>
      </c>
    </row>
    <row r="30" spans="2:12" ht="12.75">
      <c r="B30" s="46" t="s">
        <v>6</v>
      </c>
      <c r="C30" s="252" t="s">
        <v>370</v>
      </c>
      <c r="D30" s="252"/>
      <c r="E30" s="252"/>
      <c r="F30" s="252"/>
      <c r="G30" s="252"/>
      <c r="H30" s="252"/>
      <c r="I30" s="252"/>
      <c r="J30" s="252"/>
      <c r="K30" s="252"/>
      <c r="L30" s="225">
        <v>33548.83</v>
      </c>
    </row>
    <row r="31" spans="2:12" ht="12.75">
      <c r="B31" s="46" t="s">
        <v>7</v>
      </c>
      <c r="C31" s="252" t="s">
        <v>370</v>
      </c>
      <c r="D31" s="252"/>
      <c r="E31" s="252"/>
      <c r="F31" s="252"/>
      <c r="G31" s="252"/>
      <c r="H31" s="252"/>
      <c r="I31" s="252"/>
      <c r="J31" s="252"/>
      <c r="K31" s="252"/>
      <c r="L31" s="225">
        <v>21369.39</v>
      </c>
    </row>
    <row r="32" ht="12.75">
      <c r="L32" s="226"/>
    </row>
  </sheetData>
  <sheetProtection/>
  <autoFilter ref="A1:I5"/>
  <mergeCells count="22">
    <mergeCell ref="C16:K16"/>
    <mergeCell ref="C17:K17"/>
    <mergeCell ref="A2:AQ2"/>
    <mergeCell ref="AD5:AP5"/>
    <mergeCell ref="Q5:AC5"/>
    <mergeCell ref="A4:I4"/>
    <mergeCell ref="D5:P5"/>
    <mergeCell ref="C15:K15"/>
    <mergeCell ref="C18:K18"/>
    <mergeCell ref="C19:K19"/>
    <mergeCell ref="C20:K20"/>
    <mergeCell ref="C21:K21"/>
    <mergeCell ref="C22:K22"/>
    <mergeCell ref="C23:K23"/>
    <mergeCell ref="C30:K30"/>
    <mergeCell ref="C31:K31"/>
    <mergeCell ref="C24:K24"/>
    <mergeCell ref="C25:K25"/>
    <mergeCell ref="C26:K26"/>
    <mergeCell ref="C27:K27"/>
    <mergeCell ref="C28:K28"/>
    <mergeCell ref="C29:K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V30"/>
  <sheetViews>
    <sheetView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35" sqref="T35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28125" style="26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customWidth="1"/>
    <col min="30" max="41" width="9.28125" style="0" customWidth="1"/>
    <col min="42" max="42" width="10.00390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97" t="s">
        <v>41</v>
      </c>
    </row>
    <row r="6" spans="1:43" ht="12" customHeight="1" thickBot="1">
      <c r="A6" s="52"/>
      <c r="B6" s="16" t="s">
        <v>22</v>
      </c>
      <c r="C6" s="49"/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2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106"/>
    </row>
    <row r="7" spans="1:43" ht="12" customHeight="1">
      <c r="A7" s="24">
        <v>1</v>
      </c>
      <c r="B7" s="7" t="s">
        <v>23</v>
      </c>
      <c r="C7" s="148">
        <v>4140.6</v>
      </c>
      <c r="D7" s="125">
        <v>759.49</v>
      </c>
      <c r="E7" s="125"/>
      <c r="F7" s="125"/>
      <c r="G7" s="125">
        <v>3215.69</v>
      </c>
      <c r="H7" s="125"/>
      <c r="I7" s="125"/>
      <c r="J7" s="125">
        <v>8220.12</v>
      </c>
      <c r="K7" s="125"/>
      <c r="L7" s="125"/>
      <c r="M7" s="125"/>
      <c r="N7" s="125"/>
      <c r="O7" s="125">
        <v>12480</v>
      </c>
      <c r="P7" s="194">
        <f>SUM(D7:O7)</f>
        <v>24675.300000000003</v>
      </c>
      <c r="Q7" s="127">
        <f aca="true" t="shared" si="0" ref="Q7:Q17">C7*593690.15/479520.23</f>
        <v>5126.443643660248</v>
      </c>
      <c r="R7" s="125">
        <f aca="true" t="shared" si="1" ref="R7:R17">C7*593686.15/479517.01</f>
        <v>5126.443528437084</v>
      </c>
      <c r="S7" s="125">
        <f aca="true" t="shared" si="2" ref="S7:S17">C7*579500.06/479514.61</f>
        <v>5003.972555572395</v>
      </c>
      <c r="T7" s="125">
        <f aca="true" t="shared" si="3" ref="T7:T17">C7*593938.3/479720.67</f>
        <v>5126.443530106802</v>
      </c>
      <c r="U7" s="125">
        <f aca="true" t="shared" si="4" ref="U7:U17">C7*576132.29/479725.57</f>
        <v>4972.704206644646</v>
      </c>
      <c r="V7" s="125">
        <f aca="true" t="shared" si="5" ref="V7:V17">C7*593946.23/479729.4</f>
        <v>5126.418685071209</v>
      </c>
      <c r="W7" s="125">
        <f aca="true" t="shared" si="6" ref="W7:W17">C7*594015.27/479782.82</f>
        <v>5126.443725021251</v>
      </c>
      <c r="X7" s="125">
        <f aca="true" t="shared" si="7" ref="X7:X17">C7*594005.55/479774.98</f>
        <v>5126.44360973138</v>
      </c>
      <c r="Y7" s="125">
        <f aca="true" t="shared" si="8" ref="Y7:Y17">C7*585421.9/479766.08</f>
        <v>5052.457896022996</v>
      </c>
      <c r="Z7" s="125">
        <f aca="true" t="shared" si="9" ref="Z7:Z17">C7*572643.93/479776.28</f>
        <v>4942.073119075417</v>
      </c>
      <c r="AA7" s="125">
        <f aca="true" t="shared" si="10" ref="AA7:AA17">C7*588687.52/475479.64</f>
        <v>5126.443574559786</v>
      </c>
      <c r="AB7" s="125">
        <f aca="true" t="shared" si="11" ref="AB7:AB17">C7*577403.59/475489.94</f>
        <v>5028.071266353186</v>
      </c>
      <c r="AC7" s="195">
        <f>SUM(Q7:AB7)</f>
        <v>60884.359340256415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0</v>
      </c>
      <c r="AQ7" s="210">
        <f>P7+AC7+AP7</f>
        <v>85559.65934025642</v>
      </c>
    </row>
    <row r="8" spans="1:43" ht="12" customHeight="1">
      <c r="A8" s="8">
        <v>2</v>
      </c>
      <c r="B8" s="9" t="s">
        <v>24</v>
      </c>
      <c r="C8" s="123">
        <v>4069.93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>
        <v>12480</v>
      </c>
      <c r="P8" s="194">
        <f aca="true" t="shared" si="12" ref="P8:P17">SUM(D8:O8)</f>
        <v>12480</v>
      </c>
      <c r="Q8" s="127">
        <f t="shared" si="0"/>
        <v>5038.947683582609</v>
      </c>
      <c r="R8" s="125">
        <f t="shared" si="1"/>
        <v>5038.947570326024</v>
      </c>
      <c r="S8" s="125">
        <f t="shared" si="2"/>
        <v>4918.566879945119</v>
      </c>
      <c r="T8" s="125">
        <f t="shared" si="3"/>
        <v>5038.9475719672455</v>
      </c>
      <c r="U8" s="125">
        <f t="shared" si="4"/>
        <v>4887.832205899927</v>
      </c>
      <c r="V8" s="125">
        <f t="shared" si="5"/>
        <v>5038.923150976154</v>
      </c>
      <c r="W8" s="125">
        <f t="shared" si="6"/>
        <v>5038.9477635549765</v>
      </c>
      <c r="X8" s="125">
        <f t="shared" si="7"/>
        <v>5038.947650232824</v>
      </c>
      <c r="Y8" s="125">
        <f t="shared" si="8"/>
        <v>4966.224693223414</v>
      </c>
      <c r="Z8" s="125">
        <f t="shared" si="9"/>
        <v>4857.723916707387</v>
      </c>
      <c r="AA8" s="125">
        <f t="shared" si="10"/>
        <v>5038.947615661525</v>
      </c>
      <c r="AB8" s="125">
        <f t="shared" si="11"/>
        <v>4942.254284178336</v>
      </c>
      <c r="AC8" s="195">
        <f aca="true" t="shared" si="13" ref="AC8:AC17">SUM(Q8:AB8)</f>
        <v>59845.21098625554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aca="true" t="shared" si="14" ref="AP8:AP17">SUM(AD8:AO8)</f>
        <v>0</v>
      </c>
      <c r="AQ8" s="210">
        <f aca="true" t="shared" si="15" ref="AQ8:AQ17">P8+AC8+AP8</f>
        <v>72325.21098625554</v>
      </c>
    </row>
    <row r="9" spans="1:43" ht="12" customHeight="1">
      <c r="A9" s="24">
        <v>3</v>
      </c>
      <c r="B9" s="9" t="s">
        <v>25</v>
      </c>
      <c r="C9" s="123">
        <v>1758.38</v>
      </c>
      <c r="D9" s="125"/>
      <c r="E9" s="125"/>
      <c r="F9" s="125"/>
      <c r="G9" s="125"/>
      <c r="H9" s="125"/>
      <c r="I9" s="125"/>
      <c r="J9" s="125">
        <v>4110.06</v>
      </c>
      <c r="K9" s="125"/>
      <c r="L9" s="125"/>
      <c r="M9" s="125"/>
      <c r="N9" s="125"/>
      <c r="O9" s="125">
        <v>6240</v>
      </c>
      <c r="P9" s="194">
        <f t="shared" si="12"/>
        <v>10350.060000000001</v>
      </c>
      <c r="Q9" s="127">
        <f t="shared" si="0"/>
        <v>2177.0361720860037</v>
      </c>
      <c r="R9" s="125">
        <f t="shared" si="1"/>
        <v>2177.036123154422</v>
      </c>
      <c r="S9" s="125">
        <f t="shared" si="2"/>
        <v>2125.0266295385663</v>
      </c>
      <c r="T9" s="125">
        <f t="shared" si="3"/>
        <v>2177.036123863498</v>
      </c>
      <c r="U9" s="125">
        <f t="shared" si="4"/>
        <v>2111.747964758685</v>
      </c>
      <c r="V9" s="125">
        <f t="shared" si="5"/>
        <v>2177.0255729738474</v>
      </c>
      <c r="W9" s="125">
        <f t="shared" si="6"/>
        <v>2177.036206637412</v>
      </c>
      <c r="X9" s="125">
        <f t="shared" si="7"/>
        <v>2177.0361576775017</v>
      </c>
      <c r="Y9" s="125">
        <f t="shared" si="8"/>
        <v>2145.616798340558</v>
      </c>
      <c r="Z9" s="125">
        <f t="shared" si="9"/>
        <v>2098.7399244360313</v>
      </c>
      <c r="AA9" s="125">
        <f t="shared" si="10"/>
        <v>2177.036142741254</v>
      </c>
      <c r="AB9" s="125">
        <f t="shared" si="11"/>
        <v>2135.2605789813347</v>
      </c>
      <c r="AC9" s="195">
        <f t="shared" si="13"/>
        <v>25855.634395189114</v>
      </c>
      <c r="AD9" s="127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 t="shared" si="14"/>
        <v>0</v>
      </c>
      <c r="AQ9" s="210">
        <f t="shared" si="15"/>
        <v>36205.694395189115</v>
      </c>
    </row>
    <row r="10" spans="1:43" ht="12" customHeight="1">
      <c r="A10" s="8">
        <v>4</v>
      </c>
      <c r="B10" s="9" t="s">
        <v>26</v>
      </c>
      <c r="C10" s="123">
        <v>1607.71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94">
        <f t="shared" si="12"/>
        <v>0</v>
      </c>
      <c r="Q10" s="127">
        <f t="shared" si="0"/>
        <v>1990.4928537769931</v>
      </c>
      <c r="R10" s="125">
        <f t="shared" si="1"/>
        <v>1990.492809038203</v>
      </c>
      <c r="S10" s="125">
        <f t="shared" si="2"/>
        <v>1942.939843819566</v>
      </c>
      <c r="T10" s="125">
        <f t="shared" si="3"/>
        <v>1990.4928096865206</v>
      </c>
      <c r="U10" s="125">
        <f t="shared" si="4"/>
        <v>1930.7989856698696</v>
      </c>
      <c r="V10" s="125">
        <f t="shared" si="5"/>
        <v>1990.483162869109</v>
      </c>
      <c r="W10" s="125">
        <f t="shared" si="6"/>
        <v>1990.4928853678005</v>
      </c>
      <c r="X10" s="125">
        <f t="shared" si="7"/>
        <v>1990.4928406031095</v>
      </c>
      <c r="Y10" s="125">
        <f t="shared" si="8"/>
        <v>1961.7657064230136</v>
      </c>
      <c r="Z10" s="125">
        <f t="shared" si="9"/>
        <v>1918.9055630267926</v>
      </c>
      <c r="AA10" s="125">
        <f t="shared" si="10"/>
        <v>1990.4928269467018</v>
      </c>
      <c r="AB10" s="125">
        <f t="shared" si="11"/>
        <v>1952.296878623552</v>
      </c>
      <c r="AC10" s="195">
        <f t="shared" si="13"/>
        <v>23640.147165851235</v>
      </c>
      <c r="AD10" s="127"/>
      <c r="AE10" s="125"/>
      <c r="AF10" s="125">
        <v>4564.24</v>
      </c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4564.24</v>
      </c>
      <c r="AQ10" s="210">
        <f t="shared" si="15"/>
        <v>28204.387165851236</v>
      </c>
    </row>
    <row r="11" spans="1:43" ht="12" customHeight="1">
      <c r="A11" s="24">
        <v>5</v>
      </c>
      <c r="B11" s="9" t="s">
        <v>27</v>
      </c>
      <c r="C11" s="123">
        <v>1566.5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94">
        <f t="shared" si="12"/>
        <v>0</v>
      </c>
      <c r="Q11" s="127">
        <f t="shared" si="0"/>
        <v>1939.4710833680574</v>
      </c>
      <c r="R11" s="125">
        <f t="shared" si="1"/>
        <v>1939.4710397760446</v>
      </c>
      <c r="S11" s="125">
        <f t="shared" si="2"/>
        <v>1893.1369869835669</v>
      </c>
      <c r="T11" s="125">
        <f t="shared" si="3"/>
        <v>1939.471040407744</v>
      </c>
      <c r="U11" s="125">
        <f t="shared" si="4"/>
        <v>1881.3073322003663</v>
      </c>
      <c r="V11" s="125">
        <f t="shared" si="5"/>
        <v>1939.4616408646207</v>
      </c>
      <c r="W11" s="125">
        <f t="shared" si="6"/>
        <v>1939.4711141491061</v>
      </c>
      <c r="X11" s="125">
        <f t="shared" si="7"/>
        <v>1939.4710705318566</v>
      </c>
      <c r="Y11" s="125">
        <f t="shared" si="8"/>
        <v>1911.4802912911225</v>
      </c>
      <c r="Z11" s="125">
        <f t="shared" si="9"/>
        <v>1869.718770475689</v>
      </c>
      <c r="AA11" s="125">
        <f t="shared" si="10"/>
        <v>1939.4710572254996</v>
      </c>
      <c r="AB11" s="125">
        <f t="shared" si="11"/>
        <v>1902.2541754195681</v>
      </c>
      <c r="AC11" s="195">
        <f t="shared" si="13"/>
        <v>23034.185602693244</v>
      </c>
      <c r="AD11" s="127"/>
      <c r="AE11" s="125"/>
      <c r="AF11" s="125">
        <v>4564.24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4564.24</v>
      </c>
      <c r="AQ11" s="210">
        <f t="shared" si="15"/>
        <v>27598.42560269324</v>
      </c>
    </row>
    <row r="12" spans="1:43" ht="12" customHeight="1">
      <c r="A12" s="8">
        <v>6</v>
      </c>
      <c r="B12" s="9" t="s">
        <v>28</v>
      </c>
      <c r="C12" s="129">
        <v>1531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94">
        <f t="shared" si="12"/>
        <v>0</v>
      </c>
      <c r="Q12" s="127">
        <f t="shared" si="0"/>
        <v>1895.5188181528858</v>
      </c>
      <c r="R12" s="125">
        <f t="shared" si="1"/>
        <v>1895.5187755487548</v>
      </c>
      <c r="S12" s="125">
        <f t="shared" si="2"/>
        <v>1850.2347443803644</v>
      </c>
      <c r="T12" s="125">
        <f t="shared" si="3"/>
        <v>1895.5187761661387</v>
      </c>
      <c r="U12" s="125">
        <f t="shared" si="4"/>
        <v>1838.6731730601728</v>
      </c>
      <c r="V12" s="125">
        <f t="shared" si="5"/>
        <v>1895.5095896353234</v>
      </c>
      <c r="W12" s="125">
        <f t="shared" si="6"/>
        <v>1895.5188482363749</v>
      </c>
      <c r="X12" s="125">
        <f t="shared" si="7"/>
        <v>1895.518805607579</v>
      </c>
      <c r="Y12" s="125">
        <f t="shared" si="8"/>
        <v>1868.1623529950261</v>
      </c>
      <c r="Z12" s="125">
        <f t="shared" si="9"/>
        <v>1827.3472311511523</v>
      </c>
      <c r="AA12" s="125">
        <f t="shared" si="10"/>
        <v>1895.5187926027704</v>
      </c>
      <c r="AB12" s="125">
        <f t="shared" si="11"/>
        <v>1859.1453192258914</v>
      </c>
      <c r="AC12" s="195">
        <f t="shared" si="13"/>
        <v>22512.185226762434</v>
      </c>
      <c r="AD12" s="127"/>
      <c r="AE12" s="125"/>
      <c r="AF12" s="125">
        <v>4564.24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95">
        <f t="shared" si="14"/>
        <v>4564.24</v>
      </c>
      <c r="AQ12" s="210">
        <f t="shared" si="15"/>
        <v>27076.425226762432</v>
      </c>
    </row>
    <row r="13" spans="1:43" ht="12" customHeight="1">
      <c r="A13" s="24">
        <v>7</v>
      </c>
      <c r="B13" s="9" t="s">
        <v>29</v>
      </c>
      <c r="C13" s="123">
        <v>1232.9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>
        <v>6240</v>
      </c>
      <c r="P13" s="194">
        <f t="shared" si="12"/>
        <v>6240</v>
      </c>
      <c r="Q13" s="127">
        <f t="shared" si="0"/>
        <v>1526.4435995432352</v>
      </c>
      <c r="R13" s="125">
        <f t="shared" si="1"/>
        <v>1526.4435652345264</v>
      </c>
      <c r="S13" s="125">
        <f t="shared" si="2"/>
        <v>1489.9767579010786</v>
      </c>
      <c r="T13" s="125">
        <f t="shared" si="3"/>
        <v>1526.4435657317</v>
      </c>
      <c r="U13" s="125">
        <f t="shared" si="4"/>
        <v>1480.6663325054783</v>
      </c>
      <c r="V13" s="125">
        <f t="shared" si="5"/>
        <v>1526.4361679042393</v>
      </c>
      <c r="W13" s="125">
        <f t="shared" si="6"/>
        <v>1526.4436237691882</v>
      </c>
      <c r="X13" s="125">
        <f t="shared" si="7"/>
        <v>1526.443589440617</v>
      </c>
      <c r="Y13" s="125">
        <f t="shared" si="8"/>
        <v>1504.413693669215</v>
      </c>
      <c r="Z13" s="125">
        <f t="shared" si="9"/>
        <v>1471.5456572738447</v>
      </c>
      <c r="AA13" s="125">
        <f t="shared" si="10"/>
        <v>1526.443578967966</v>
      </c>
      <c r="AB13" s="125">
        <f t="shared" si="11"/>
        <v>1497.1523605967354</v>
      </c>
      <c r="AC13" s="195">
        <f t="shared" si="13"/>
        <v>18128.852492537822</v>
      </c>
      <c r="AD13" s="127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95">
        <f t="shared" si="14"/>
        <v>0</v>
      </c>
      <c r="AQ13" s="210">
        <f t="shared" si="15"/>
        <v>24368.852492537822</v>
      </c>
    </row>
    <row r="14" spans="1:43" ht="12" customHeight="1">
      <c r="A14" s="8">
        <v>8</v>
      </c>
      <c r="B14" s="9" t="s">
        <v>30</v>
      </c>
      <c r="C14" s="123">
        <v>2787.1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94">
        <f t="shared" si="12"/>
        <v>0</v>
      </c>
      <c r="Q14" s="127">
        <f t="shared" si="0"/>
        <v>3450.6861515832193</v>
      </c>
      <c r="R14" s="125">
        <f t="shared" si="1"/>
        <v>3450.6860740247776</v>
      </c>
      <c r="S14" s="125">
        <f t="shared" si="2"/>
        <v>3368.2490242080426</v>
      </c>
      <c r="T14" s="125">
        <f t="shared" si="3"/>
        <v>3450.6860751486906</v>
      </c>
      <c r="U14" s="125">
        <f t="shared" si="4"/>
        <v>3347.2018292854395</v>
      </c>
      <c r="V14" s="125">
        <f t="shared" si="5"/>
        <v>3450.669351582371</v>
      </c>
      <c r="W14" s="125">
        <f t="shared" si="6"/>
        <v>3450.6862063485305</v>
      </c>
      <c r="X14" s="125">
        <f t="shared" si="7"/>
        <v>3450.686128745188</v>
      </c>
      <c r="Y14" s="125">
        <f t="shared" si="8"/>
        <v>3400.88523450845</v>
      </c>
      <c r="Z14" s="125">
        <f t="shared" si="9"/>
        <v>3326.5835845469473</v>
      </c>
      <c r="AA14" s="125">
        <f t="shared" si="10"/>
        <v>3450.686105070661</v>
      </c>
      <c r="AB14" s="125">
        <f t="shared" si="11"/>
        <v>3384.470228095677</v>
      </c>
      <c r="AC14" s="195">
        <f t="shared" si="13"/>
        <v>40982.175993148</v>
      </c>
      <c r="AD14" s="127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95">
        <f t="shared" si="14"/>
        <v>0</v>
      </c>
      <c r="AQ14" s="210">
        <f t="shared" si="15"/>
        <v>40982.175993148</v>
      </c>
    </row>
    <row r="15" spans="1:43" ht="12" customHeight="1">
      <c r="A15" s="24">
        <v>9</v>
      </c>
      <c r="B15" s="9" t="s">
        <v>37</v>
      </c>
      <c r="C15" s="123">
        <v>367.33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>
        <v>6240</v>
      </c>
      <c r="P15" s="194">
        <f t="shared" si="12"/>
        <v>6240</v>
      </c>
      <c r="Q15" s="127">
        <f t="shared" si="0"/>
        <v>454.78832623912444</v>
      </c>
      <c r="R15" s="125">
        <f t="shared" si="1"/>
        <v>454.788316017194</v>
      </c>
      <c r="S15" s="125">
        <f t="shared" si="2"/>
        <v>443.9234021249113</v>
      </c>
      <c r="T15" s="125">
        <f t="shared" si="3"/>
        <v>454.7883161653219</v>
      </c>
      <c r="U15" s="125">
        <f t="shared" si="4"/>
        <v>441.1494556892183</v>
      </c>
      <c r="V15" s="125">
        <f t="shared" si="5"/>
        <v>454.7861120579643</v>
      </c>
      <c r="W15" s="125">
        <f t="shared" si="6"/>
        <v>454.78833345700036</v>
      </c>
      <c r="X15" s="125">
        <f t="shared" si="7"/>
        <v>454.7883232291522</v>
      </c>
      <c r="Y15" s="125">
        <f t="shared" si="8"/>
        <v>448.2247401212691</v>
      </c>
      <c r="Z15" s="125">
        <f t="shared" si="9"/>
        <v>438.43204338259494</v>
      </c>
      <c r="AA15" s="125">
        <f t="shared" si="10"/>
        <v>454.7883201089325</v>
      </c>
      <c r="AB15" s="125">
        <f t="shared" si="11"/>
        <v>446.0612998767124</v>
      </c>
      <c r="AC15" s="195">
        <f t="shared" si="13"/>
        <v>5401.306988469396</v>
      </c>
      <c r="AD15" s="127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95">
        <f t="shared" si="14"/>
        <v>0</v>
      </c>
      <c r="AQ15" s="210">
        <f t="shared" si="15"/>
        <v>11641.306988469396</v>
      </c>
    </row>
    <row r="16" spans="1:43" ht="12" customHeight="1">
      <c r="A16" s="8">
        <v>10</v>
      </c>
      <c r="B16" s="7" t="s">
        <v>31</v>
      </c>
      <c r="C16" s="123">
        <v>2258.4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94">
        <f t="shared" si="12"/>
        <v>0</v>
      </c>
      <c r="Q16" s="127">
        <f t="shared" si="0"/>
        <v>2796.106922871638</v>
      </c>
      <c r="R16" s="125">
        <f t="shared" si="1"/>
        <v>2796.106860025675</v>
      </c>
      <c r="S16" s="125">
        <f t="shared" si="2"/>
        <v>2729.307737889363</v>
      </c>
      <c r="T16" s="125">
        <f t="shared" si="3"/>
        <v>2796.106860936387</v>
      </c>
      <c r="U16" s="125">
        <f t="shared" si="4"/>
        <v>2712.2530986538827</v>
      </c>
      <c r="V16" s="125">
        <f t="shared" si="5"/>
        <v>2796.0933097533734</v>
      </c>
      <c r="W16" s="125">
        <f t="shared" si="6"/>
        <v>2796.106967248223</v>
      </c>
      <c r="X16" s="125">
        <f t="shared" si="7"/>
        <v>2796.1069043658763</v>
      </c>
      <c r="Y16" s="125">
        <f t="shared" si="8"/>
        <v>2755.7530098001093</v>
      </c>
      <c r="Z16" s="125">
        <f t="shared" si="9"/>
        <v>2695.5460397333522</v>
      </c>
      <c r="AA16" s="125">
        <f t="shared" si="10"/>
        <v>2796.106885182297</v>
      </c>
      <c r="AB16" s="125">
        <f t="shared" si="11"/>
        <v>2742.451854304215</v>
      </c>
      <c r="AC16" s="195">
        <f t="shared" si="13"/>
        <v>33208.046450764385</v>
      </c>
      <c r="AD16" s="127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95">
        <f t="shared" si="14"/>
        <v>0</v>
      </c>
      <c r="AQ16" s="210">
        <f t="shared" si="15"/>
        <v>33208.046450764385</v>
      </c>
    </row>
    <row r="17" spans="1:43" ht="12" customHeight="1">
      <c r="A17" s="24">
        <v>11</v>
      </c>
      <c r="B17" s="9" t="s">
        <v>32</v>
      </c>
      <c r="C17" s="123">
        <v>4349.1</v>
      </c>
      <c r="D17" s="125"/>
      <c r="E17" s="125">
        <f>77068.83</f>
        <v>77068.83</v>
      </c>
      <c r="F17" s="125">
        <f>7818.75</f>
        <v>7818.75</v>
      </c>
      <c r="G17" s="125"/>
      <c r="H17" s="125"/>
      <c r="I17" s="125"/>
      <c r="J17" s="125"/>
      <c r="K17" s="125"/>
      <c r="L17" s="125">
        <v>829.23</v>
      </c>
      <c r="M17" s="125"/>
      <c r="N17" s="125"/>
      <c r="O17" s="125">
        <v>6240</v>
      </c>
      <c r="P17" s="194">
        <f t="shared" si="12"/>
        <v>91956.81</v>
      </c>
      <c r="Q17" s="127">
        <f t="shared" si="0"/>
        <v>5384.585821050762</v>
      </c>
      <c r="R17" s="125">
        <f t="shared" si="1"/>
        <v>5384.585700025532</v>
      </c>
      <c r="S17" s="125">
        <f t="shared" si="2"/>
        <v>5255.947698748951</v>
      </c>
      <c r="T17" s="125">
        <f t="shared" si="3"/>
        <v>5384.58570177933</v>
      </c>
      <c r="U17" s="125">
        <f t="shared" si="4"/>
        <v>5223.104831453951</v>
      </c>
      <c r="V17" s="125">
        <f t="shared" si="5"/>
        <v>5384.559605671448</v>
      </c>
      <c r="W17" s="125">
        <f t="shared" si="6"/>
        <v>5384.5859065087</v>
      </c>
      <c r="X17" s="125">
        <f t="shared" si="7"/>
        <v>5384.585785413405</v>
      </c>
      <c r="Y17" s="125">
        <f t="shared" si="8"/>
        <v>5306.874519536688</v>
      </c>
      <c r="Z17" s="125">
        <f t="shared" si="9"/>
        <v>5190.931314826569</v>
      </c>
      <c r="AA17" s="125">
        <f t="shared" si="10"/>
        <v>5384.585748470745</v>
      </c>
      <c r="AB17" s="125">
        <f t="shared" si="11"/>
        <v>5281.259900617456</v>
      </c>
      <c r="AC17" s="195">
        <f t="shared" si="13"/>
        <v>63950.19253410353</v>
      </c>
      <c r="AD17" s="127"/>
      <c r="AE17" s="125"/>
      <c r="AF17" s="125"/>
      <c r="AG17" s="125"/>
      <c r="AH17" s="125"/>
      <c r="AI17" s="125"/>
      <c r="AJ17" s="125"/>
      <c r="AK17" s="125"/>
      <c r="AL17" s="125">
        <v>9128.47</v>
      </c>
      <c r="AM17" s="125"/>
      <c r="AN17" s="125"/>
      <c r="AO17" s="125"/>
      <c r="AP17" s="195">
        <f t="shared" si="14"/>
        <v>9128.47</v>
      </c>
      <c r="AQ17" s="210">
        <f t="shared" si="15"/>
        <v>165035.47253410352</v>
      </c>
    </row>
    <row r="18" spans="1:43" ht="12" customHeight="1" thickBot="1">
      <c r="A18" s="11">
        <v>11</v>
      </c>
      <c r="B18" s="12" t="s">
        <v>21</v>
      </c>
      <c r="C18" s="133">
        <f aca="true" t="shared" si="16" ref="C18:AQ18">SUM(C7:C17)</f>
        <v>25668.950000000004</v>
      </c>
      <c r="D18" s="126">
        <f t="shared" si="16"/>
        <v>759.49</v>
      </c>
      <c r="E18" s="126">
        <f>SUM(E7:E17)</f>
        <v>77068.83</v>
      </c>
      <c r="F18" s="126">
        <f t="shared" si="16"/>
        <v>7818.75</v>
      </c>
      <c r="G18" s="126">
        <f t="shared" si="16"/>
        <v>3215.69</v>
      </c>
      <c r="H18" s="126">
        <f t="shared" si="16"/>
        <v>0</v>
      </c>
      <c r="I18" s="126">
        <f t="shared" si="16"/>
        <v>0</v>
      </c>
      <c r="J18" s="126">
        <f t="shared" si="16"/>
        <v>12330.18</v>
      </c>
      <c r="K18" s="126">
        <f t="shared" si="16"/>
        <v>0</v>
      </c>
      <c r="L18" s="126">
        <f t="shared" si="16"/>
        <v>829.23</v>
      </c>
      <c r="M18" s="126">
        <f t="shared" si="16"/>
        <v>0</v>
      </c>
      <c r="N18" s="126">
        <f t="shared" si="16"/>
        <v>0</v>
      </c>
      <c r="O18" s="126">
        <f t="shared" si="16"/>
        <v>49920</v>
      </c>
      <c r="P18" s="199">
        <f>SUM(P7:P17)</f>
        <v>151942.16999999998</v>
      </c>
      <c r="Q18" s="128">
        <f t="shared" si="16"/>
        <v>31780.52107591478</v>
      </c>
      <c r="R18" s="161">
        <f t="shared" si="16"/>
        <v>31780.520361608233</v>
      </c>
      <c r="S18" s="161">
        <f t="shared" si="16"/>
        <v>31021.282261111923</v>
      </c>
      <c r="T18" s="161">
        <f t="shared" si="16"/>
        <v>31780.520371959377</v>
      </c>
      <c r="U18" s="161">
        <f t="shared" si="16"/>
        <v>30827.43941582164</v>
      </c>
      <c r="V18" s="161">
        <f t="shared" si="16"/>
        <v>31780.36634935966</v>
      </c>
      <c r="W18" s="161">
        <f t="shared" si="16"/>
        <v>31780.521580298562</v>
      </c>
      <c r="X18" s="161">
        <f t="shared" si="16"/>
        <v>31780.520865578488</v>
      </c>
      <c r="Y18" s="161">
        <f t="shared" si="16"/>
        <v>31321.858935931858</v>
      </c>
      <c r="Z18" s="161">
        <f t="shared" si="16"/>
        <v>30637.547164635776</v>
      </c>
      <c r="AA18" s="161">
        <f t="shared" si="16"/>
        <v>31780.52064753814</v>
      </c>
      <c r="AB18" s="161">
        <f t="shared" si="16"/>
        <v>31170.678146272665</v>
      </c>
      <c r="AC18" s="196">
        <f t="shared" si="16"/>
        <v>377442.2971760311</v>
      </c>
      <c r="AD18" s="128">
        <f t="shared" si="16"/>
        <v>0</v>
      </c>
      <c r="AE18" s="161">
        <f t="shared" si="16"/>
        <v>0</v>
      </c>
      <c r="AF18" s="161">
        <f t="shared" si="16"/>
        <v>13692.72</v>
      </c>
      <c r="AG18" s="161">
        <f t="shared" si="16"/>
        <v>0</v>
      </c>
      <c r="AH18" s="161">
        <f t="shared" si="16"/>
        <v>0</v>
      </c>
      <c r="AI18" s="161">
        <f t="shared" si="16"/>
        <v>0</v>
      </c>
      <c r="AJ18" s="161">
        <f t="shared" si="16"/>
        <v>0</v>
      </c>
      <c r="AK18" s="161">
        <f t="shared" si="16"/>
        <v>0</v>
      </c>
      <c r="AL18" s="161">
        <f t="shared" si="16"/>
        <v>9128.47</v>
      </c>
      <c r="AM18" s="161">
        <f t="shared" si="16"/>
        <v>0</v>
      </c>
      <c r="AN18" s="161">
        <f t="shared" si="16"/>
        <v>0</v>
      </c>
      <c r="AO18" s="161">
        <f t="shared" si="16"/>
        <v>0</v>
      </c>
      <c r="AP18" s="196">
        <f t="shared" si="16"/>
        <v>22821.19</v>
      </c>
      <c r="AQ18" s="212">
        <f t="shared" si="16"/>
        <v>552205.6571760311</v>
      </c>
    </row>
    <row r="20" spans="1:25" s="35" customFormat="1" ht="9.75">
      <c r="A20" s="5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5" s="73" customFormat="1" ht="9.75">
      <c r="A21" s="51"/>
      <c r="B21" s="114"/>
      <c r="C21" s="115"/>
      <c r="D21" s="115"/>
      <c r="E21" s="115"/>
    </row>
    <row r="22" spans="1:48" s="73" customFormat="1" ht="11.25" customHeight="1">
      <c r="A22" s="51"/>
      <c r="B22" s="116"/>
      <c r="C22" s="250"/>
      <c r="D22" s="250"/>
      <c r="E22" s="250"/>
      <c r="F22" s="250"/>
      <c r="G22" s="250"/>
      <c r="H22" s="250"/>
      <c r="I22" s="250"/>
      <c r="J22" s="120"/>
      <c r="K22" s="157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</row>
    <row r="23" spans="1:5" s="73" customFormat="1" ht="9.75">
      <c r="A23" s="51"/>
      <c r="B23" s="117"/>
      <c r="C23" s="115"/>
      <c r="D23" s="115"/>
      <c r="E23" s="115"/>
    </row>
    <row r="24" spans="1:11" s="73" customFormat="1" ht="9.75">
      <c r="A24" s="51"/>
      <c r="B24" s="168" t="s">
        <v>23</v>
      </c>
      <c r="C24" s="247" t="s">
        <v>187</v>
      </c>
      <c r="D24" s="247"/>
      <c r="E24" s="247"/>
      <c r="F24" s="247"/>
      <c r="G24" s="247"/>
      <c r="H24" s="247"/>
      <c r="I24" s="247"/>
      <c r="J24" s="247"/>
      <c r="K24" s="172">
        <v>759.49</v>
      </c>
    </row>
    <row r="25" spans="1:43" s="73" customFormat="1" ht="9.75">
      <c r="A25" s="51"/>
      <c r="B25" s="171" t="s">
        <v>32</v>
      </c>
      <c r="C25" s="241" t="s">
        <v>200</v>
      </c>
      <c r="D25" s="241"/>
      <c r="E25" s="241"/>
      <c r="F25" s="241"/>
      <c r="G25" s="241"/>
      <c r="H25" s="241"/>
      <c r="I25" s="241"/>
      <c r="J25" s="241"/>
      <c r="K25" s="173">
        <v>77068.83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</row>
    <row r="26" spans="1:11" ht="12.75">
      <c r="A26" s="51"/>
      <c r="B26" s="47" t="s">
        <v>32</v>
      </c>
      <c r="C26" s="264" t="s">
        <v>211</v>
      </c>
      <c r="D26" s="264"/>
      <c r="E26" s="264"/>
      <c r="F26" s="264"/>
      <c r="G26" s="264"/>
      <c r="H26" s="264"/>
      <c r="I26" s="264"/>
      <c r="J26" s="264"/>
      <c r="K26" s="225">
        <v>7818.75</v>
      </c>
    </row>
    <row r="27" spans="1:11" ht="12.75">
      <c r="A27" s="51"/>
      <c r="B27" s="189" t="s">
        <v>23</v>
      </c>
      <c r="C27" s="239" t="s">
        <v>230</v>
      </c>
      <c r="D27" s="239"/>
      <c r="E27" s="239"/>
      <c r="F27" s="239"/>
      <c r="G27" s="239"/>
      <c r="H27" s="239"/>
      <c r="I27" s="239"/>
      <c r="J27" s="239"/>
      <c r="K27" s="175">
        <v>3215.69</v>
      </c>
    </row>
    <row r="28" spans="1:11" ht="12.75">
      <c r="A28" s="51"/>
      <c r="B28" s="189" t="s">
        <v>23</v>
      </c>
      <c r="C28" s="239" t="s">
        <v>268</v>
      </c>
      <c r="D28" s="239"/>
      <c r="E28" s="239"/>
      <c r="F28" s="239"/>
      <c r="G28" s="239"/>
      <c r="H28" s="239"/>
      <c r="I28" s="239"/>
      <c r="J28" s="239"/>
      <c r="K28" s="175">
        <v>8220.12</v>
      </c>
    </row>
    <row r="29" spans="2:11" ht="12.75">
      <c r="B29" s="189" t="s">
        <v>25</v>
      </c>
      <c r="C29" s="239" t="s">
        <v>265</v>
      </c>
      <c r="D29" s="239"/>
      <c r="E29" s="239"/>
      <c r="F29" s="239"/>
      <c r="G29" s="239"/>
      <c r="H29" s="239"/>
      <c r="I29" s="239"/>
      <c r="J29" s="239"/>
      <c r="K29" s="175">
        <v>4110.06</v>
      </c>
    </row>
    <row r="30" spans="2:11" ht="12.75">
      <c r="B30" s="187" t="s">
        <v>32</v>
      </c>
      <c r="C30" s="239" t="s">
        <v>285</v>
      </c>
      <c r="D30" s="239"/>
      <c r="E30" s="239"/>
      <c r="F30" s="239"/>
      <c r="G30" s="239"/>
      <c r="H30" s="239"/>
      <c r="I30" s="239"/>
      <c r="J30" s="239"/>
      <c r="K30" s="175">
        <v>829.23</v>
      </c>
    </row>
  </sheetData>
  <sheetProtection/>
  <autoFilter ref="A1:I5"/>
  <mergeCells count="13">
    <mergeCell ref="C24:J24"/>
    <mergeCell ref="A2:AQ2"/>
    <mergeCell ref="AD5:AP5"/>
    <mergeCell ref="Q5:AC5"/>
    <mergeCell ref="A4:I4"/>
    <mergeCell ref="D5:P5"/>
    <mergeCell ref="C22:I22"/>
    <mergeCell ref="C25:J25"/>
    <mergeCell ref="C29:J29"/>
    <mergeCell ref="C30:J30"/>
    <mergeCell ref="C27:J27"/>
    <mergeCell ref="C28:J28"/>
    <mergeCell ref="C26:J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U91"/>
  <sheetViews>
    <sheetView zoomScalePageLayoutView="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0" sqref="O30"/>
    </sheetView>
  </sheetViews>
  <sheetFormatPr defaultColWidth="9.140625" defaultRowHeight="12.75"/>
  <cols>
    <col min="1" max="1" width="6.28125" style="1" customWidth="1"/>
    <col min="2" max="2" width="19.57421875" style="46" customWidth="1"/>
    <col min="3" max="3" width="13.140625" style="46" customWidth="1"/>
    <col min="4" max="6" width="9.8515625" style="48" customWidth="1"/>
    <col min="7" max="7" width="9.421875" style="48" customWidth="1"/>
    <col min="8" max="8" width="9.28125" style="48" customWidth="1"/>
    <col min="9" max="9" width="9.57421875" style="48" customWidth="1"/>
    <col min="10" max="10" width="9.00390625" style="48" customWidth="1"/>
    <col min="11" max="11" width="9.7109375" style="48" customWidth="1"/>
    <col min="12" max="12" width="11.28125" style="48" customWidth="1"/>
    <col min="13" max="13" width="11.421875" style="48" customWidth="1"/>
    <col min="14" max="14" width="10.421875" style="48" customWidth="1"/>
    <col min="15" max="15" width="9.421875" style="48" customWidth="1"/>
    <col min="16" max="16" width="10.8515625" style="48" customWidth="1"/>
    <col min="17" max="17" width="12.57421875" style="48" customWidth="1"/>
    <col min="18" max="28" width="9.57421875" style="48" customWidth="1"/>
    <col min="29" max="29" width="11.140625" style="48" bestFit="1" customWidth="1"/>
    <col min="30" max="41" width="9.28125" style="48" customWidth="1"/>
    <col min="42" max="42" width="10.00390625" style="48" bestFit="1" customWidth="1"/>
    <col min="43" max="43" width="12.421875" style="48" bestFit="1" customWidth="1"/>
    <col min="44" max="16384" width="9.140625" style="48" customWidth="1"/>
  </cols>
  <sheetData>
    <row r="1" spans="2:4" ht="15" customHeight="1">
      <c r="B1" s="2"/>
      <c r="C1" s="2"/>
      <c r="D1" s="59"/>
    </row>
    <row r="2" spans="1:43" ht="11.25">
      <c r="A2" s="242" t="s">
        <v>184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</row>
    <row r="3" spans="1:43" ht="9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9" ht="10.5" thickBot="1">
      <c r="A4" s="257"/>
      <c r="B4" s="257"/>
      <c r="C4" s="257"/>
      <c r="D4" s="257"/>
      <c r="E4" s="257"/>
      <c r="F4" s="257"/>
      <c r="G4" s="257"/>
      <c r="H4" s="257"/>
      <c r="I4" s="257"/>
    </row>
    <row r="5" spans="1:43" ht="21" thickBot="1">
      <c r="A5" s="61" t="s">
        <v>0</v>
      </c>
      <c r="B5" s="62" t="s">
        <v>1</v>
      </c>
      <c r="C5" s="63" t="s">
        <v>2</v>
      </c>
      <c r="D5" s="254" t="s">
        <v>38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54" t="s">
        <v>39</v>
      </c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6"/>
      <c r="AD5" s="254" t="s">
        <v>40</v>
      </c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6"/>
      <c r="AQ5" s="90" t="s">
        <v>41</v>
      </c>
    </row>
    <row r="6" spans="1:43" ht="12" customHeight="1">
      <c r="A6" s="34"/>
      <c r="B6" s="69" t="s">
        <v>55</v>
      </c>
      <c r="C6" s="68"/>
      <c r="D6" s="68" t="s">
        <v>42</v>
      </c>
      <c r="E6" s="68" t="s">
        <v>43</v>
      </c>
      <c r="F6" s="68" t="s">
        <v>44</v>
      </c>
      <c r="G6" s="68" t="s">
        <v>45</v>
      </c>
      <c r="H6" s="68" t="s">
        <v>46</v>
      </c>
      <c r="I6" s="68" t="s">
        <v>47</v>
      </c>
      <c r="J6" s="68" t="s">
        <v>48</v>
      </c>
      <c r="K6" s="68" t="s">
        <v>49</v>
      </c>
      <c r="L6" s="68" t="s">
        <v>50</v>
      </c>
      <c r="M6" s="68" t="s">
        <v>51</v>
      </c>
      <c r="N6" s="68" t="s">
        <v>52</v>
      </c>
      <c r="O6" s="68" t="s">
        <v>53</v>
      </c>
      <c r="P6" s="87" t="s">
        <v>54</v>
      </c>
      <c r="Q6" s="88" t="s">
        <v>42</v>
      </c>
      <c r="R6" s="67" t="s">
        <v>43</v>
      </c>
      <c r="S6" s="67" t="s">
        <v>44</v>
      </c>
      <c r="T6" s="67" t="s">
        <v>45</v>
      </c>
      <c r="U6" s="67" t="s">
        <v>46</v>
      </c>
      <c r="V6" s="67" t="s">
        <v>47</v>
      </c>
      <c r="W6" s="67" t="s">
        <v>48</v>
      </c>
      <c r="X6" s="67" t="s">
        <v>49</v>
      </c>
      <c r="Y6" s="67" t="s">
        <v>50</v>
      </c>
      <c r="Z6" s="67" t="s">
        <v>51</v>
      </c>
      <c r="AA6" s="67" t="s">
        <v>52</v>
      </c>
      <c r="AB6" s="67" t="s">
        <v>53</v>
      </c>
      <c r="AC6" s="107" t="s">
        <v>54</v>
      </c>
      <c r="AD6" s="88" t="s">
        <v>42</v>
      </c>
      <c r="AE6" s="67" t="s">
        <v>43</v>
      </c>
      <c r="AF6" s="67" t="s">
        <v>44</v>
      </c>
      <c r="AG6" s="67" t="s">
        <v>45</v>
      </c>
      <c r="AH6" s="67" t="s">
        <v>46</v>
      </c>
      <c r="AI6" s="67" t="s">
        <v>47</v>
      </c>
      <c r="AJ6" s="67" t="s">
        <v>48</v>
      </c>
      <c r="AK6" s="67" t="s">
        <v>49</v>
      </c>
      <c r="AL6" s="67" t="s">
        <v>50</v>
      </c>
      <c r="AM6" s="67" t="s">
        <v>51</v>
      </c>
      <c r="AN6" s="67" t="s">
        <v>52</v>
      </c>
      <c r="AO6" s="67" t="s">
        <v>53</v>
      </c>
      <c r="AP6" s="107" t="s">
        <v>54</v>
      </c>
      <c r="AQ6" s="108"/>
    </row>
    <row r="7" spans="1:43" ht="12" customHeight="1">
      <c r="A7" s="41">
        <v>1</v>
      </c>
      <c r="B7" s="32" t="s">
        <v>56</v>
      </c>
      <c r="C7" s="131">
        <v>7583.8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>
        <v>1366.47</v>
      </c>
      <c r="P7" s="213">
        <f>SUM(D7:O7)</f>
        <v>1366.47</v>
      </c>
      <c r="Q7" s="127">
        <f aca="true" t="shared" si="0" ref="Q7:Q29">C7*593690.15/479520.23</f>
        <v>9389.44194193851</v>
      </c>
      <c r="R7" s="125">
        <f aca="true" t="shared" si="1" ref="R7:R29">C7*593686.15/479517.01</f>
        <v>9389.441730899181</v>
      </c>
      <c r="S7" s="125">
        <f aca="true" t="shared" si="2" ref="S7:S29">C7*579500.06/479514.61</f>
        <v>9165.12753392019</v>
      </c>
      <c r="T7" s="125">
        <f aca="true" t="shared" si="3" ref="T7:T29">C7*593938.3/479720.67</f>
        <v>9389.44173395739</v>
      </c>
      <c r="U7" s="125">
        <f aca="true" t="shared" si="4" ref="U7:U29">C7*576132.29/479725.57</f>
        <v>9107.857354574617</v>
      </c>
      <c r="V7" s="125">
        <f aca="true" t="shared" si="5" ref="V7:V29">C7*593946.23/479729.4</f>
        <v>9389.396228528</v>
      </c>
      <c r="W7" s="125">
        <f aca="true" t="shared" si="6" ref="W7:W29">C7*594015.27/479782.82</f>
        <v>9389.442090956905</v>
      </c>
      <c r="X7" s="125">
        <f aca="true" t="shared" si="7" ref="X7:X29">C7*594005.55/479774.98</f>
        <v>9389.4418797954</v>
      </c>
      <c r="Y7" s="125">
        <f aca="true" t="shared" si="8" ref="Y7:Y29">C7*585421.9/479766.08</f>
        <v>9253.931843660144</v>
      </c>
      <c r="Z7" s="125">
        <f aca="true" t="shared" si="9" ref="Z7:Z29">C7*572643.93/479776.28</f>
        <v>9051.754364209086</v>
      </c>
      <c r="AA7" s="125">
        <f aca="true" t="shared" si="10" ref="AA7:AA29">C7*588687.52/475479.64</f>
        <v>9389.441815376154</v>
      </c>
      <c r="AB7" s="125">
        <f aca="true" t="shared" si="11" ref="AB7:AB29">C7*577403.59/475489.94</f>
        <v>9209.266016946647</v>
      </c>
      <c r="AC7" s="215">
        <f>SUM(Q7:AB7)</f>
        <v>111513.98453476222</v>
      </c>
      <c r="AD7" s="137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217">
        <f>SUM(AD7:AO7)</f>
        <v>0</v>
      </c>
      <c r="AQ7" s="205">
        <f>P7+AC7+AP7</f>
        <v>112880.45453476222</v>
      </c>
    </row>
    <row r="8" spans="1:43" ht="12" customHeight="1">
      <c r="A8" s="41">
        <v>2</v>
      </c>
      <c r="B8" s="32" t="s">
        <v>57</v>
      </c>
      <c r="C8" s="131">
        <v>4217.4</v>
      </c>
      <c r="D8" s="150"/>
      <c r="E8" s="150"/>
      <c r="F8" s="150"/>
      <c r="G8" s="150">
        <v>4223.95</v>
      </c>
      <c r="H8" s="150"/>
      <c r="I8" s="150"/>
      <c r="J8" s="150">
        <v>1910.18</v>
      </c>
      <c r="K8" s="150"/>
      <c r="L8" s="150"/>
      <c r="M8" s="150"/>
      <c r="N8" s="150">
        <v>72800.85</v>
      </c>
      <c r="O8" s="150">
        <v>1924.68</v>
      </c>
      <c r="P8" s="213">
        <f aca="true" t="shared" si="12" ref="P8:P29">SUM(D8:O8)</f>
        <v>80859.66</v>
      </c>
      <c r="Q8" s="127">
        <f t="shared" si="0"/>
        <v>5221.5291075623645</v>
      </c>
      <c r="R8" s="125">
        <f t="shared" si="1"/>
        <v>5221.528990202036</v>
      </c>
      <c r="S8" s="125">
        <f t="shared" si="2"/>
        <v>5096.78642126045</v>
      </c>
      <c r="T8" s="125">
        <f t="shared" si="3"/>
        <v>5221.5289919027255</v>
      </c>
      <c r="U8" s="125">
        <f t="shared" si="4"/>
        <v>5064.938105854978</v>
      </c>
      <c r="V8" s="125">
        <f t="shared" si="5"/>
        <v>5221.503686040504</v>
      </c>
      <c r="W8" s="125">
        <f t="shared" si="6"/>
        <v>5221.529190432454</v>
      </c>
      <c r="X8" s="125">
        <f t="shared" si="7"/>
        <v>5221.5290730041825</v>
      </c>
      <c r="Y8" s="125">
        <f t="shared" si="8"/>
        <v>5146.1710695762395</v>
      </c>
      <c r="Z8" s="125">
        <f t="shared" si="9"/>
        <v>5033.738871754977</v>
      </c>
      <c r="AA8" s="125">
        <f t="shared" si="10"/>
        <v>5221.529037180225</v>
      </c>
      <c r="AB8" s="125">
        <f t="shared" si="11"/>
        <v>5121.3321158088</v>
      </c>
      <c r="AC8" s="215">
        <f aca="true" t="shared" si="13" ref="AC8:AC29">SUM(Q8:AB8)</f>
        <v>62013.64466057993</v>
      </c>
      <c r="AD8" s="137">
        <f>9128.47</f>
        <v>9128.47</v>
      </c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217">
        <f aca="true" t="shared" si="14" ref="AP8:AP29">SUM(AD8:AO8)</f>
        <v>9128.47</v>
      </c>
      <c r="AQ8" s="205">
        <f aca="true" t="shared" si="15" ref="AQ8:AQ29">P8+AC8+AP8</f>
        <v>152001.77466057995</v>
      </c>
    </row>
    <row r="9" spans="1:43" ht="12" customHeight="1">
      <c r="A9" s="41">
        <v>3</v>
      </c>
      <c r="B9" s="32" t="s">
        <v>58</v>
      </c>
      <c r="C9" s="131">
        <v>4259.2</v>
      </c>
      <c r="D9" s="150"/>
      <c r="E9" s="150"/>
      <c r="F9" s="150"/>
      <c r="G9" s="150">
        <v>9977.4</v>
      </c>
      <c r="H9" s="150">
        <v>72557.94</v>
      </c>
      <c r="I9" s="150">
        <v>6500.27</v>
      </c>
      <c r="J9" s="150"/>
      <c r="K9" s="150"/>
      <c r="L9" s="150"/>
      <c r="M9" s="150"/>
      <c r="N9" s="150"/>
      <c r="O9" s="150">
        <v>1150.23</v>
      </c>
      <c r="P9" s="213">
        <f t="shared" si="12"/>
        <v>90185.84</v>
      </c>
      <c r="Q9" s="127">
        <f t="shared" si="0"/>
        <v>5273.281352238258</v>
      </c>
      <c r="R9" s="125">
        <f t="shared" si="1"/>
        <v>5273.2812337147325</v>
      </c>
      <c r="S9" s="125">
        <f t="shared" si="2"/>
        <v>5147.3023012833755</v>
      </c>
      <c r="T9" s="125">
        <f t="shared" si="3"/>
        <v>5273.281235432278</v>
      </c>
      <c r="U9" s="125">
        <f t="shared" si="4"/>
        <v>5115.138327039769</v>
      </c>
      <c r="V9" s="125">
        <f t="shared" si="5"/>
        <v>5273.255678755565</v>
      </c>
      <c r="W9" s="125">
        <f t="shared" si="6"/>
        <v>5273.281435929699</v>
      </c>
      <c r="X9" s="125">
        <f t="shared" si="7"/>
        <v>5273.281317337557</v>
      </c>
      <c r="Y9" s="125">
        <f t="shared" si="8"/>
        <v>5197.176416640376</v>
      </c>
      <c r="Z9" s="125">
        <f t="shared" si="9"/>
        <v>5083.62986735401</v>
      </c>
      <c r="AA9" s="125">
        <f t="shared" si="10"/>
        <v>5273.281281158537</v>
      </c>
      <c r="AB9" s="125">
        <f t="shared" si="11"/>
        <v>5172.091276059384</v>
      </c>
      <c r="AC9" s="215">
        <f t="shared" si="13"/>
        <v>62628.28172294354</v>
      </c>
      <c r="AD9" s="137">
        <f>9128.47</f>
        <v>9128.47</v>
      </c>
      <c r="AE9" s="134"/>
      <c r="AF9" s="134"/>
      <c r="AG9" s="134"/>
      <c r="AH9" s="134">
        <v>9128.47</v>
      </c>
      <c r="AI9" s="134"/>
      <c r="AJ9" s="134"/>
      <c r="AK9" s="134"/>
      <c r="AL9" s="134"/>
      <c r="AM9" s="134"/>
      <c r="AN9" s="134"/>
      <c r="AO9" s="134"/>
      <c r="AP9" s="217">
        <f t="shared" si="14"/>
        <v>18256.94</v>
      </c>
      <c r="AQ9" s="205">
        <f t="shared" si="15"/>
        <v>171071.06172294353</v>
      </c>
    </row>
    <row r="10" spans="1:43" ht="12" customHeight="1">
      <c r="A10" s="41">
        <v>4</v>
      </c>
      <c r="B10" s="32" t="s">
        <v>59</v>
      </c>
      <c r="C10" s="131">
        <v>4228.2</v>
      </c>
      <c r="D10" s="150"/>
      <c r="E10" s="150"/>
      <c r="F10" s="150"/>
      <c r="G10" s="150">
        <v>81339.7</v>
      </c>
      <c r="H10" s="150"/>
      <c r="I10" s="150">
        <v>6500.27</v>
      </c>
      <c r="J10" s="150"/>
      <c r="K10" s="150"/>
      <c r="L10" s="150"/>
      <c r="M10" s="150"/>
      <c r="N10" s="150"/>
      <c r="O10" s="150">
        <v>919.32</v>
      </c>
      <c r="P10" s="213">
        <f t="shared" si="12"/>
        <v>88759.29000000001</v>
      </c>
      <c r="Q10" s="127">
        <f t="shared" si="0"/>
        <v>5234.900500923601</v>
      </c>
      <c r="R10" s="125">
        <f t="shared" si="1"/>
        <v>5234.900383262733</v>
      </c>
      <c r="S10" s="125">
        <f t="shared" si="2"/>
        <v>5109.838371122832</v>
      </c>
      <c r="T10" s="125">
        <f t="shared" si="3"/>
        <v>5234.900384967777</v>
      </c>
      <c r="U10" s="125">
        <f t="shared" si="4"/>
        <v>5077.908497931432</v>
      </c>
      <c r="V10" s="125">
        <f t="shared" si="5"/>
        <v>5234.875014301812</v>
      </c>
      <c r="W10" s="125">
        <f t="shared" si="6"/>
        <v>5234.900584005904</v>
      </c>
      <c r="X10" s="125">
        <f t="shared" si="7"/>
        <v>5234.900466276921</v>
      </c>
      <c r="Y10" s="125">
        <f t="shared" si="8"/>
        <v>5159.349484607165</v>
      </c>
      <c r="Z10" s="125">
        <f t="shared" si="9"/>
        <v>5046.629368225541</v>
      </c>
      <c r="AA10" s="125">
        <f t="shared" si="10"/>
        <v>5234.900430361225</v>
      </c>
      <c r="AB10" s="125">
        <f t="shared" si="11"/>
        <v>5134.446922763497</v>
      </c>
      <c r="AC10" s="215">
        <f t="shared" si="13"/>
        <v>62172.45040875044</v>
      </c>
      <c r="AD10" s="137"/>
      <c r="AE10" s="134"/>
      <c r="AF10" s="134"/>
      <c r="AG10" s="134">
        <v>9128.47</v>
      </c>
      <c r="AH10" s="134"/>
      <c r="AI10" s="134"/>
      <c r="AJ10" s="134"/>
      <c r="AK10" s="134"/>
      <c r="AL10" s="134"/>
      <c r="AM10" s="134"/>
      <c r="AN10" s="134"/>
      <c r="AO10" s="134"/>
      <c r="AP10" s="217">
        <f t="shared" si="14"/>
        <v>9128.47</v>
      </c>
      <c r="AQ10" s="205">
        <f t="shared" si="15"/>
        <v>160060.21040875046</v>
      </c>
    </row>
    <row r="11" spans="1:43" ht="12" customHeight="1">
      <c r="A11" s="41">
        <v>5</v>
      </c>
      <c r="B11" s="32" t="s">
        <v>60</v>
      </c>
      <c r="C11" s="131">
        <v>4275.8</v>
      </c>
      <c r="D11" s="150"/>
      <c r="E11" s="150"/>
      <c r="F11" s="150"/>
      <c r="G11" s="150"/>
      <c r="H11" s="150">
        <v>1378.49</v>
      </c>
      <c r="I11" s="150">
        <f>70846.65+6500.27</f>
        <v>77346.92</v>
      </c>
      <c r="J11" s="150"/>
      <c r="K11" s="150"/>
      <c r="L11" s="150"/>
      <c r="M11" s="150"/>
      <c r="N11" s="150"/>
      <c r="O11" s="150">
        <v>1408.06</v>
      </c>
      <c r="P11" s="213">
        <f t="shared" si="12"/>
        <v>80133.47</v>
      </c>
      <c r="Q11" s="127">
        <f t="shared" si="0"/>
        <v>5293.833679071267</v>
      </c>
      <c r="R11" s="125">
        <f t="shared" si="1"/>
        <v>5293.833560085804</v>
      </c>
      <c r="S11" s="125">
        <f t="shared" si="2"/>
        <v>5167.363631627409</v>
      </c>
      <c r="T11" s="125">
        <f t="shared" si="3"/>
        <v>5293.833561810044</v>
      </c>
      <c r="U11" s="125">
        <f t="shared" si="4"/>
        <v>5135.074300046171</v>
      </c>
      <c r="V11" s="125">
        <f t="shared" si="5"/>
        <v>5293.807905527575</v>
      </c>
      <c r="W11" s="125">
        <f t="shared" si="6"/>
        <v>5293.833763088891</v>
      </c>
      <c r="X11" s="125">
        <f t="shared" si="7"/>
        <v>5293.833644034545</v>
      </c>
      <c r="Y11" s="125">
        <f t="shared" si="8"/>
        <v>5217.432128632353</v>
      </c>
      <c r="Z11" s="125">
        <f t="shared" si="9"/>
        <v>5103.443037855061</v>
      </c>
      <c r="AA11" s="125">
        <f t="shared" si="10"/>
        <v>5293.833607714518</v>
      </c>
      <c r="AB11" s="125">
        <f t="shared" si="11"/>
        <v>5192.249220082343</v>
      </c>
      <c r="AC11" s="215">
        <f t="shared" si="13"/>
        <v>62872.37203957598</v>
      </c>
      <c r="AD11" s="137"/>
      <c r="AE11" s="134"/>
      <c r="AF11" s="134"/>
      <c r="AG11" s="134"/>
      <c r="AH11" s="134">
        <v>9128.47</v>
      </c>
      <c r="AI11" s="134"/>
      <c r="AJ11" s="134"/>
      <c r="AK11" s="134"/>
      <c r="AL11" s="134"/>
      <c r="AM11" s="134"/>
      <c r="AN11" s="134"/>
      <c r="AO11" s="134"/>
      <c r="AP11" s="217">
        <f t="shared" si="14"/>
        <v>9128.47</v>
      </c>
      <c r="AQ11" s="205">
        <f t="shared" si="15"/>
        <v>152134.31203957598</v>
      </c>
    </row>
    <row r="12" spans="1:43" ht="12" customHeight="1">
      <c r="A12" s="41">
        <v>6</v>
      </c>
      <c r="B12" s="32" t="s">
        <v>61</v>
      </c>
      <c r="C12" s="131">
        <v>4648.3</v>
      </c>
      <c r="D12" s="150"/>
      <c r="E12" s="150"/>
      <c r="F12" s="150">
        <f>985.18</f>
        <v>985.18</v>
      </c>
      <c r="G12" s="150"/>
      <c r="H12" s="150"/>
      <c r="I12" s="150">
        <v>6500.27</v>
      </c>
      <c r="J12" s="150"/>
      <c r="K12" s="150"/>
      <c r="L12" s="150"/>
      <c r="M12" s="150"/>
      <c r="N12" s="150"/>
      <c r="O12" s="150">
        <v>706.49</v>
      </c>
      <c r="P12" s="213">
        <f t="shared" si="12"/>
        <v>8191.9400000000005</v>
      </c>
      <c r="Q12" s="127">
        <f t="shared" si="0"/>
        <v>5755.022940836095</v>
      </c>
      <c r="R12" s="125">
        <f t="shared" si="1"/>
        <v>5755.022811484831</v>
      </c>
      <c r="S12" s="125">
        <f t="shared" si="2"/>
        <v>5617.535050491997</v>
      </c>
      <c r="T12" s="125">
        <f t="shared" si="3"/>
        <v>5755.022813359284</v>
      </c>
      <c r="U12" s="125">
        <f t="shared" si="4"/>
        <v>5582.432730460877</v>
      </c>
      <c r="V12" s="125">
        <f t="shared" si="5"/>
        <v>5754.994921947664</v>
      </c>
      <c r="W12" s="125">
        <f t="shared" si="6"/>
        <v>5755.023032173182</v>
      </c>
      <c r="X12" s="125">
        <f t="shared" si="7"/>
        <v>5755.022902747035</v>
      </c>
      <c r="Y12" s="125">
        <f t="shared" si="8"/>
        <v>5671.965424837871</v>
      </c>
      <c r="Z12" s="125">
        <f t="shared" si="9"/>
        <v>5548.045809640694</v>
      </c>
      <c r="AA12" s="125">
        <f t="shared" si="10"/>
        <v>5755.022863262873</v>
      </c>
      <c r="AB12" s="125">
        <f t="shared" si="11"/>
        <v>5644.588626621627</v>
      </c>
      <c r="AC12" s="215">
        <f t="shared" si="13"/>
        <v>68349.69992786403</v>
      </c>
      <c r="AD12" s="137"/>
      <c r="AE12" s="134"/>
      <c r="AF12" s="134">
        <v>9128.47</v>
      </c>
      <c r="AG12" s="134"/>
      <c r="AH12" s="134"/>
      <c r="AI12" s="134"/>
      <c r="AJ12" s="134"/>
      <c r="AK12" s="134"/>
      <c r="AL12" s="134"/>
      <c r="AM12" s="134"/>
      <c r="AN12" s="134"/>
      <c r="AO12" s="134"/>
      <c r="AP12" s="217">
        <f t="shared" si="14"/>
        <v>9128.47</v>
      </c>
      <c r="AQ12" s="205">
        <f t="shared" si="15"/>
        <v>85670.10992786403</v>
      </c>
    </row>
    <row r="13" spans="1:43" ht="12" customHeight="1">
      <c r="A13" s="41">
        <v>7</v>
      </c>
      <c r="B13" s="32" t="s">
        <v>62</v>
      </c>
      <c r="C13" s="131">
        <v>4348</v>
      </c>
      <c r="D13" s="150"/>
      <c r="E13" s="150"/>
      <c r="F13" s="150"/>
      <c r="G13" s="150"/>
      <c r="H13" s="150"/>
      <c r="I13" s="150">
        <v>6500.27</v>
      </c>
      <c r="J13" s="150"/>
      <c r="K13" s="150">
        <v>78369.34</v>
      </c>
      <c r="L13" s="150"/>
      <c r="M13" s="150"/>
      <c r="N13" s="150"/>
      <c r="O13" s="150">
        <v>1599.96</v>
      </c>
      <c r="P13" s="213">
        <f t="shared" si="12"/>
        <v>86469.57</v>
      </c>
      <c r="Q13" s="127">
        <f t="shared" si="0"/>
        <v>5383.223919875081</v>
      </c>
      <c r="R13" s="125">
        <f t="shared" si="1"/>
        <v>5383.223798880462</v>
      </c>
      <c r="S13" s="125">
        <f t="shared" si="2"/>
        <v>5254.6183334851885</v>
      </c>
      <c r="T13" s="125">
        <f t="shared" si="3"/>
        <v>5383.223800633815</v>
      </c>
      <c r="U13" s="125">
        <f t="shared" si="4"/>
        <v>5221.783773001718</v>
      </c>
      <c r="V13" s="125">
        <f t="shared" si="5"/>
        <v>5383.197711126314</v>
      </c>
      <c r="W13" s="125">
        <f t="shared" si="6"/>
        <v>5383.224005311403</v>
      </c>
      <c r="X13" s="125">
        <f t="shared" si="7"/>
        <v>5383.223884246736</v>
      </c>
      <c r="Y13" s="125">
        <f t="shared" si="8"/>
        <v>5305.532273561316</v>
      </c>
      <c r="Z13" s="125">
        <f t="shared" si="9"/>
        <v>5189.618393889753</v>
      </c>
      <c r="AA13" s="125">
        <f t="shared" si="10"/>
        <v>5383.22384731342</v>
      </c>
      <c r="AB13" s="125">
        <f t="shared" si="11"/>
        <v>5279.92413324244</v>
      </c>
      <c r="AC13" s="215">
        <f t="shared" si="13"/>
        <v>63934.017874567646</v>
      </c>
      <c r="AD13" s="137"/>
      <c r="AE13" s="134"/>
      <c r="AF13" s="134"/>
      <c r="AG13" s="134"/>
      <c r="AH13" s="134">
        <v>9128.47</v>
      </c>
      <c r="AI13" s="134"/>
      <c r="AJ13" s="134"/>
      <c r="AK13" s="134"/>
      <c r="AL13" s="134"/>
      <c r="AM13" s="134"/>
      <c r="AN13" s="134"/>
      <c r="AO13" s="134"/>
      <c r="AP13" s="217">
        <f t="shared" si="14"/>
        <v>9128.47</v>
      </c>
      <c r="AQ13" s="205">
        <f t="shared" si="15"/>
        <v>159532.05787456766</v>
      </c>
    </row>
    <row r="14" spans="1:43" ht="12" customHeight="1">
      <c r="A14" s="41">
        <v>8</v>
      </c>
      <c r="B14" s="32" t="s">
        <v>63</v>
      </c>
      <c r="C14" s="131">
        <v>4339.5</v>
      </c>
      <c r="D14" s="150"/>
      <c r="E14" s="150"/>
      <c r="F14" s="150"/>
      <c r="G14" s="150"/>
      <c r="H14" s="150">
        <v>1663.48</v>
      </c>
      <c r="I14" s="150">
        <v>6500.27</v>
      </c>
      <c r="J14" s="150"/>
      <c r="K14" s="150"/>
      <c r="L14" s="150">
        <v>70632.11</v>
      </c>
      <c r="M14" s="150"/>
      <c r="N14" s="150"/>
      <c r="O14" s="150">
        <v>1117.23</v>
      </c>
      <c r="P14" s="213">
        <f t="shared" si="12"/>
        <v>79913.09</v>
      </c>
      <c r="Q14" s="127">
        <f t="shared" si="0"/>
        <v>5372.700138062997</v>
      </c>
      <c r="R14" s="125">
        <f t="shared" si="1"/>
        <v>5372.700017304913</v>
      </c>
      <c r="S14" s="125">
        <f t="shared" si="2"/>
        <v>5244.345965537944</v>
      </c>
      <c r="T14" s="125">
        <f t="shared" si="3"/>
        <v>5372.70001905484</v>
      </c>
      <c r="U14" s="125">
        <f t="shared" si="4"/>
        <v>5211.575594052658</v>
      </c>
      <c r="V14" s="125">
        <f t="shared" si="5"/>
        <v>5372.673980550285</v>
      </c>
      <c r="W14" s="125">
        <f t="shared" si="6"/>
        <v>5372.700223332298</v>
      </c>
      <c r="X14" s="125">
        <f t="shared" si="7"/>
        <v>5372.700102504305</v>
      </c>
      <c r="Y14" s="125">
        <f t="shared" si="8"/>
        <v>5295.1603728425325</v>
      </c>
      <c r="Z14" s="125">
        <f t="shared" si="9"/>
        <v>5179.473095741623</v>
      </c>
      <c r="AA14" s="125">
        <f t="shared" si="10"/>
        <v>5372.700065643189</v>
      </c>
      <c r="AB14" s="125">
        <f t="shared" si="11"/>
        <v>5269.602294435504</v>
      </c>
      <c r="AC14" s="215">
        <f t="shared" si="13"/>
        <v>63809.031869063096</v>
      </c>
      <c r="AD14" s="137"/>
      <c r="AE14" s="134"/>
      <c r="AF14" s="134"/>
      <c r="AG14" s="134"/>
      <c r="AH14" s="134">
        <v>9128.47</v>
      </c>
      <c r="AI14" s="134"/>
      <c r="AJ14" s="134"/>
      <c r="AK14" s="134"/>
      <c r="AL14" s="134"/>
      <c r="AM14" s="134"/>
      <c r="AN14" s="134"/>
      <c r="AO14" s="134"/>
      <c r="AP14" s="217">
        <f t="shared" si="14"/>
        <v>9128.47</v>
      </c>
      <c r="AQ14" s="205">
        <f t="shared" si="15"/>
        <v>152850.5918690631</v>
      </c>
    </row>
    <row r="15" spans="1:43" ht="12" customHeight="1">
      <c r="A15" s="41">
        <v>9</v>
      </c>
      <c r="B15" s="32" t="s">
        <v>64</v>
      </c>
      <c r="C15" s="131">
        <v>4617.69</v>
      </c>
      <c r="D15" s="150"/>
      <c r="E15" s="150"/>
      <c r="F15" s="150"/>
      <c r="G15" s="150"/>
      <c r="H15" s="150"/>
      <c r="I15" s="150">
        <v>6500.27</v>
      </c>
      <c r="J15" s="150"/>
      <c r="K15" s="150">
        <v>2113.32</v>
      </c>
      <c r="L15" s="150"/>
      <c r="M15" s="150">
        <v>101815.5</v>
      </c>
      <c r="N15" s="150"/>
      <c r="O15" s="150">
        <v>706.49</v>
      </c>
      <c r="P15" s="213">
        <f t="shared" si="12"/>
        <v>111135.58</v>
      </c>
      <c r="Q15" s="127">
        <f t="shared" si="0"/>
        <v>5717.124945392815</v>
      </c>
      <c r="R15" s="125">
        <f t="shared" si="1"/>
        <v>5717.124816893356</v>
      </c>
      <c r="S15" s="125">
        <f t="shared" si="2"/>
        <v>5580.542440743151</v>
      </c>
      <c r="T15" s="125">
        <f t="shared" si="3"/>
        <v>5717.124818755465</v>
      </c>
      <c r="U15" s="125">
        <f t="shared" si="4"/>
        <v>5545.671276621965</v>
      </c>
      <c r="V15" s="125">
        <f t="shared" si="5"/>
        <v>5717.097111014458</v>
      </c>
      <c r="W15" s="125">
        <f t="shared" si="6"/>
        <v>5717.125036128429</v>
      </c>
      <c r="X15" s="125">
        <f t="shared" si="7"/>
        <v>5717.124907554579</v>
      </c>
      <c r="Y15" s="125">
        <f t="shared" si="8"/>
        <v>5634.61438001411</v>
      </c>
      <c r="Z15" s="125">
        <f t="shared" si="9"/>
        <v>5511.51080066255</v>
      </c>
      <c r="AA15" s="125">
        <f t="shared" si="10"/>
        <v>5717.124868330429</v>
      </c>
      <c r="AB15" s="125">
        <f t="shared" si="11"/>
        <v>5607.417863576881</v>
      </c>
      <c r="AC15" s="215">
        <f t="shared" si="13"/>
        <v>67899.60326568819</v>
      </c>
      <c r="AD15" s="137"/>
      <c r="AE15" s="134"/>
      <c r="AF15" s="134"/>
      <c r="AG15" s="134"/>
      <c r="AH15" s="134"/>
      <c r="AI15" s="134"/>
      <c r="AJ15" s="134"/>
      <c r="AK15" s="134"/>
      <c r="AL15" s="134"/>
      <c r="AM15" s="134">
        <v>9128.47</v>
      </c>
      <c r="AN15" s="134"/>
      <c r="AO15" s="134"/>
      <c r="AP15" s="217">
        <f t="shared" si="14"/>
        <v>9128.47</v>
      </c>
      <c r="AQ15" s="205">
        <f t="shared" si="15"/>
        <v>188163.6532656882</v>
      </c>
    </row>
    <row r="16" spans="1:43" ht="12" customHeight="1">
      <c r="A16" s="41">
        <v>10</v>
      </c>
      <c r="B16" s="32" t="s">
        <v>65</v>
      </c>
      <c r="C16" s="131">
        <v>4577.2</v>
      </c>
      <c r="D16" s="150"/>
      <c r="E16" s="150"/>
      <c r="F16" s="150">
        <f>128881.48</f>
        <v>128881.48</v>
      </c>
      <c r="G16" s="150"/>
      <c r="H16" s="150"/>
      <c r="I16" s="150">
        <v>6500.27</v>
      </c>
      <c r="J16" s="150"/>
      <c r="K16" s="150"/>
      <c r="L16" s="150"/>
      <c r="M16" s="150"/>
      <c r="N16" s="150"/>
      <c r="O16" s="150">
        <v>706.49</v>
      </c>
      <c r="P16" s="213">
        <f t="shared" si="12"/>
        <v>136088.24</v>
      </c>
      <c r="Q16" s="127">
        <f t="shared" si="0"/>
        <v>5666.994601207962</v>
      </c>
      <c r="R16" s="125">
        <f t="shared" si="1"/>
        <v>5666.994473835245</v>
      </c>
      <c r="S16" s="125">
        <f t="shared" si="2"/>
        <v>5531.609713897977</v>
      </c>
      <c r="T16" s="125">
        <f t="shared" si="3"/>
        <v>5666.9944756810255</v>
      </c>
      <c r="U16" s="125">
        <f t="shared" si="4"/>
        <v>5497.044315957559</v>
      </c>
      <c r="V16" s="125">
        <f t="shared" si="5"/>
        <v>5666.967010894057</v>
      </c>
      <c r="W16" s="125">
        <f t="shared" si="6"/>
        <v>5666.994691147966</v>
      </c>
      <c r="X16" s="125">
        <f t="shared" si="7"/>
        <v>5666.994563701509</v>
      </c>
      <c r="Y16" s="125">
        <f t="shared" si="8"/>
        <v>5585.207525884281</v>
      </c>
      <c r="Z16" s="125">
        <f t="shared" si="9"/>
        <v>5463.183374542818</v>
      </c>
      <c r="AA16" s="125">
        <f t="shared" si="10"/>
        <v>5666.994524821294</v>
      </c>
      <c r="AB16" s="125">
        <f t="shared" si="11"/>
        <v>5558.2494808365445</v>
      </c>
      <c r="AC16" s="215">
        <f t="shared" si="13"/>
        <v>67304.22875240823</v>
      </c>
      <c r="AD16" s="137"/>
      <c r="AE16" s="134"/>
      <c r="AF16" s="134">
        <v>9128.47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217">
        <f t="shared" si="14"/>
        <v>9128.47</v>
      </c>
      <c r="AQ16" s="205">
        <f t="shared" si="15"/>
        <v>212520.93875240823</v>
      </c>
    </row>
    <row r="17" spans="1:43" ht="12" customHeight="1">
      <c r="A17" s="41">
        <v>11</v>
      </c>
      <c r="B17" s="32" t="s">
        <v>66</v>
      </c>
      <c r="C17" s="131">
        <v>3579.7</v>
      </c>
      <c r="D17" s="150">
        <f>30937.68</f>
        <v>30937.68</v>
      </c>
      <c r="E17" s="150"/>
      <c r="F17" s="150"/>
      <c r="G17" s="150"/>
      <c r="H17" s="150"/>
      <c r="I17" s="150">
        <v>6500.27</v>
      </c>
      <c r="J17" s="150"/>
      <c r="K17" s="150"/>
      <c r="L17" s="150"/>
      <c r="M17" s="150"/>
      <c r="N17" s="150"/>
      <c r="O17" s="150">
        <v>706.49</v>
      </c>
      <c r="P17" s="213">
        <f t="shared" si="12"/>
        <v>38144.439999999995</v>
      </c>
      <c r="Q17" s="127">
        <f t="shared" si="0"/>
        <v>4431.997853260539</v>
      </c>
      <c r="R17" s="125">
        <f t="shared" si="1"/>
        <v>4431.997753645903</v>
      </c>
      <c r="S17" s="125">
        <f t="shared" si="2"/>
        <v>4326.117122441796</v>
      </c>
      <c r="T17" s="125">
        <f t="shared" si="3"/>
        <v>4431.9977550894355</v>
      </c>
      <c r="U17" s="125">
        <f t="shared" si="4"/>
        <v>4299.084492229588</v>
      </c>
      <c r="V17" s="125">
        <f t="shared" si="5"/>
        <v>4431.976275648313</v>
      </c>
      <c r="W17" s="125">
        <f t="shared" si="6"/>
        <v>4431.997923600099</v>
      </c>
      <c r="X17" s="125">
        <f t="shared" si="7"/>
        <v>4431.9978239277925</v>
      </c>
      <c r="Y17" s="125">
        <f t="shared" si="8"/>
        <v>4368.034470944674</v>
      </c>
      <c r="Z17" s="125">
        <f t="shared" si="9"/>
        <v>4272.602797747733</v>
      </c>
      <c r="AA17" s="125">
        <f t="shared" si="10"/>
        <v>4431.997793520664</v>
      </c>
      <c r="AB17" s="125">
        <f t="shared" si="11"/>
        <v>4346.9513384930915</v>
      </c>
      <c r="AC17" s="215">
        <f t="shared" si="13"/>
        <v>52636.75340054963</v>
      </c>
      <c r="AD17" s="137">
        <f>6846.36</f>
        <v>6846.36</v>
      </c>
      <c r="AE17" s="134"/>
      <c r="AF17" s="134"/>
      <c r="AG17" s="134"/>
      <c r="AH17" s="134"/>
      <c r="AI17" s="134"/>
      <c r="AJ17" s="134">
        <v>6846.36</v>
      </c>
      <c r="AK17" s="134"/>
      <c r="AL17" s="134"/>
      <c r="AM17" s="134"/>
      <c r="AN17" s="134"/>
      <c r="AO17" s="134"/>
      <c r="AP17" s="217">
        <f t="shared" si="14"/>
        <v>13692.72</v>
      </c>
      <c r="AQ17" s="205">
        <f t="shared" si="15"/>
        <v>104473.91340054962</v>
      </c>
    </row>
    <row r="18" spans="1:43" ht="12" customHeight="1">
      <c r="A18" s="41">
        <v>12</v>
      </c>
      <c r="B18" s="32" t="s">
        <v>67</v>
      </c>
      <c r="C18" s="131">
        <v>1166.7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>
        <v>6240</v>
      </c>
      <c r="P18" s="213">
        <f t="shared" si="12"/>
        <v>6240</v>
      </c>
      <c r="Q18" s="127">
        <f t="shared" si="0"/>
        <v>1444.4819106067746</v>
      </c>
      <c r="R18" s="125">
        <f t="shared" si="1"/>
        <v>1444.4818781402562</v>
      </c>
      <c r="S18" s="125">
        <f t="shared" si="2"/>
        <v>1409.973139300177</v>
      </c>
      <c r="T18" s="125">
        <f t="shared" si="3"/>
        <v>1444.4818786107344</v>
      </c>
      <c r="U18" s="125">
        <f t="shared" si="4"/>
        <v>1401.1626329257372</v>
      </c>
      <c r="V18" s="125">
        <f t="shared" si="5"/>
        <v>1444.474878006226</v>
      </c>
      <c r="W18" s="125">
        <f t="shared" si="6"/>
        <v>1444.4819335319262</v>
      </c>
      <c r="X18" s="125">
        <f t="shared" si="7"/>
        <v>1444.4819010466117</v>
      </c>
      <c r="Y18" s="125">
        <f t="shared" si="8"/>
        <v>1423.6348904241</v>
      </c>
      <c r="Z18" s="125">
        <f t="shared" si="9"/>
        <v>1392.5316881672434</v>
      </c>
      <c r="AA18" s="125">
        <f t="shared" si="10"/>
        <v>1444.481891136285</v>
      </c>
      <c r="AB18" s="125">
        <f t="shared" si="11"/>
        <v>1416.7634513003575</v>
      </c>
      <c r="AC18" s="215">
        <f t="shared" si="13"/>
        <v>17155.43207319643</v>
      </c>
      <c r="AD18" s="137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217">
        <f t="shared" si="14"/>
        <v>0</v>
      </c>
      <c r="AQ18" s="205">
        <f t="shared" si="15"/>
        <v>23395.43207319643</v>
      </c>
    </row>
    <row r="19" spans="1:43" ht="12" customHeight="1">
      <c r="A19" s="41">
        <v>13</v>
      </c>
      <c r="B19" s="32" t="s">
        <v>68</v>
      </c>
      <c r="C19" s="131">
        <v>1118.6</v>
      </c>
      <c r="D19" s="150"/>
      <c r="E19" s="150"/>
      <c r="F19" s="150"/>
      <c r="G19" s="150"/>
      <c r="H19" s="150"/>
      <c r="I19" s="150">
        <v>27416.99</v>
      </c>
      <c r="J19" s="150"/>
      <c r="K19" s="150"/>
      <c r="L19" s="150"/>
      <c r="M19" s="150"/>
      <c r="N19" s="150"/>
      <c r="O19" s="150">
        <v>6240</v>
      </c>
      <c r="P19" s="213">
        <f t="shared" si="12"/>
        <v>33656.990000000005</v>
      </c>
      <c r="Q19" s="127">
        <f t="shared" si="0"/>
        <v>1384.929686470162</v>
      </c>
      <c r="R19" s="125">
        <f t="shared" si="1"/>
        <v>1384.9296553421534</v>
      </c>
      <c r="S19" s="125">
        <f t="shared" si="2"/>
        <v>1351.8436218575282</v>
      </c>
      <c r="T19" s="125">
        <f t="shared" si="3"/>
        <v>1384.9296557932348</v>
      </c>
      <c r="U19" s="125">
        <f t="shared" si="4"/>
        <v>1343.3963496963481</v>
      </c>
      <c r="V19" s="125">
        <f t="shared" si="5"/>
        <v>1384.9229438054033</v>
      </c>
      <c r="W19" s="125">
        <f t="shared" si="6"/>
        <v>1384.929708450169</v>
      </c>
      <c r="X19" s="125">
        <f t="shared" si="7"/>
        <v>1384.9296773041397</v>
      </c>
      <c r="Y19" s="125">
        <f t="shared" si="8"/>
        <v>1364.9421345919243</v>
      </c>
      <c r="Z19" s="125">
        <f t="shared" si="9"/>
        <v>1335.1212362937158</v>
      </c>
      <c r="AA19" s="125">
        <f t="shared" si="10"/>
        <v>1384.92966780239</v>
      </c>
      <c r="AB19" s="125">
        <f t="shared" si="11"/>
        <v>1358.3539869928686</v>
      </c>
      <c r="AC19" s="215">
        <f t="shared" si="13"/>
        <v>16448.158324400036</v>
      </c>
      <c r="AD19" s="137"/>
      <c r="AE19" s="134"/>
      <c r="AF19" s="134"/>
      <c r="AG19" s="134"/>
      <c r="AH19" s="134"/>
      <c r="AI19" s="134">
        <v>2282.12</v>
      </c>
      <c r="AJ19" s="134"/>
      <c r="AK19" s="134"/>
      <c r="AL19" s="134"/>
      <c r="AM19" s="134"/>
      <c r="AN19" s="134"/>
      <c r="AO19" s="134"/>
      <c r="AP19" s="217">
        <f t="shared" si="14"/>
        <v>2282.12</v>
      </c>
      <c r="AQ19" s="205">
        <f t="shared" si="15"/>
        <v>52387.268324400044</v>
      </c>
    </row>
    <row r="20" spans="1:43" ht="12" customHeight="1">
      <c r="A20" s="41">
        <v>14</v>
      </c>
      <c r="B20" s="32" t="s">
        <v>69</v>
      </c>
      <c r="C20" s="131">
        <v>5181.7</v>
      </c>
      <c r="D20" s="150"/>
      <c r="E20" s="150"/>
      <c r="F20" s="150"/>
      <c r="G20" s="150">
        <v>1537.94</v>
      </c>
      <c r="H20" s="150"/>
      <c r="I20" s="150">
        <v>6500.27</v>
      </c>
      <c r="J20" s="150"/>
      <c r="K20" s="150"/>
      <c r="L20" s="150"/>
      <c r="M20" s="150"/>
      <c r="N20" s="150"/>
      <c r="O20" s="150">
        <f>124181.54+862.23</f>
        <v>125043.76999999999</v>
      </c>
      <c r="P20" s="213">
        <f t="shared" si="12"/>
        <v>133081.97999999998</v>
      </c>
      <c r="Q20" s="127">
        <f t="shared" si="0"/>
        <v>6415.421201843768</v>
      </c>
      <c r="R20" s="125">
        <f t="shared" si="1"/>
        <v>6415.421057649237</v>
      </c>
      <c r="S20" s="125">
        <f t="shared" si="2"/>
        <v>6262.156352028565</v>
      </c>
      <c r="T20" s="125">
        <f t="shared" si="3"/>
        <v>6415.4210597387855</v>
      </c>
      <c r="U20" s="125">
        <f t="shared" si="4"/>
        <v>6223.025983570148</v>
      </c>
      <c r="V20" s="125">
        <f t="shared" si="5"/>
        <v>6415.3899677422305</v>
      </c>
      <c r="W20" s="125">
        <f t="shared" si="6"/>
        <v>6415.421303661936</v>
      </c>
      <c r="X20" s="125">
        <f t="shared" si="7"/>
        <v>6415.421159383926</v>
      </c>
      <c r="Y20" s="125">
        <f t="shared" si="8"/>
        <v>6322.832700531892</v>
      </c>
      <c r="Z20" s="125">
        <f t="shared" si="9"/>
        <v>6184.69310754796</v>
      </c>
      <c r="AA20" s="125">
        <f t="shared" si="10"/>
        <v>6415.421115368893</v>
      </c>
      <c r="AB20" s="125">
        <f t="shared" si="11"/>
        <v>6292.314370106336</v>
      </c>
      <c r="AC20" s="215">
        <f t="shared" si="13"/>
        <v>76192.93937917368</v>
      </c>
      <c r="AD20" s="137"/>
      <c r="AE20" s="134"/>
      <c r="AF20" s="134"/>
      <c r="AG20" s="134">
        <v>9128.47</v>
      </c>
      <c r="AH20" s="134"/>
      <c r="AI20" s="134"/>
      <c r="AJ20" s="134"/>
      <c r="AK20" s="134"/>
      <c r="AL20" s="134"/>
      <c r="AM20" s="134"/>
      <c r="AN20" s="134"/>
      <c r="AO20" s="134">
        <v>9128.47</v>
      </c>
      <c r="AP20" s="217">
        <f t="shared" si="14"/>
        <v>18256.94</v>
      </c>
      <c r="AQ20" s="205">
        <f t="shared" si="15"/>
        <v>227531.85937917366</v>
      </c>
    </row>
    <row r="21" spans="1:43" ht="12" customHeight="1">
      <c r="A21" s="41">
        <v>15</v>
      </c>
      <c r="B21" s="32" t="s">
        <v>70</v>
      </c>
      <c r="C21" s="131">
        <v>9335.09</v>
      </c>
      <c r="D21" s="150"/>
      <c r="E21" s="150"/>
      <c r="F21" s="150"/>
      <c r="G21" s="150"/>
      <c r="H21" s="150"/>
      <c r="I21" s="150"/>
      <c r="J21" s="150">
        <v>1702.36</v>
      </c>
      <c r="K21" s="150"/>
      <c r="L21" s="150"/>
      <c r="M21" s="150"/>
      <c r="N21" s="150"/>
      <c r="O21" s="150"/>
      <c r="P21" s="213">
        <f t="shared" si="12"/>
        <v>1702.36</v>
      </c>
      <c r="Q21" s="127">
        <f t="shared" si="0"/>
        <v>11557.700041901258</v>
      </c>
      <c r="R21" s="125">
        <f t="shared" si="1"/>
        <v>11557.699782127645</v>
      </c>
      <c r="S21" s="125">
        <f t="shared" si="2"/>
        <v>11281.585800076877</v>
      </c>
      <c r="T21" s="125">
        <f t="shared" si="3"/>
        <v>11557.699785892071</v>
      </c>
      <c r="U21" s="125">
        <f t="shared" si="4"/>
        <v>11211.090497127558</v>
      </c>
      <c r="V21" s="125">
        <f t="shared" si="5"/>
        <v>11557.643772115487</v>
      </c>
      <c r="W21" s="125">
        <f t="shared" si="6"/>
        <v>11557.700225331744</v>
      </c>
      <c r="X21" s="125">
        <f t="shared" si="7"/>
        <v>11557.699965407743</v>
      </c>
      <c r="Y21" s="125">
        <f t="shared" si="8"/>
        <v>11390.897256577624</v>
      </c>
      <c r="Z21" s="125">
        <f t="shared" si="9"/>
        <v>11142.031916425089</v>
      </c>
      <c r="AA21" s="125">
        <f t="shared" si="10"/>
        <v>11557.699886112474</v>
      </c>
      <c r="AB21" s="125">
        <f t="shared" si="11"/>
        <v>11335.916968029018</v>
      </c>
      <c r="AC21" s="215">
        <f t="shared" si="13"/>
        <v>137265.36589712457</v>
      </c>
      <c r="AD21" s="137"/>
      <c r="AE21" s="134"/>
      <c r="AF21" s="134"/>
      <c r="AG21" s="134"/>
      <c r="AH21" s="134"/>
      <c r="AI21" s="134"/>
      <c r="AJ21" s="134">
        <v>16431.24</v>
      </c>
      <c r="AK21" s="134"/>
      <c r="AL21" s="134"/>
      <c r="AM21" s="134"/>
      <c r="AN21" s="134"/>
      <c r="AO21" s="134"/>
      <c r="AP21" s="217">
        <f t="shared" si="14"/>
        <v>16431.24</v>
      </c>
      <c r="AQ21" s="205">
        <f t="shared" si="15"/>
        <v>155398.96589712455</v>
      </c>
    </row>
    <row r="22" spans="1:43" ht="12" customHeight="1">
      <c r="A22" s="41">
        <v>16</v>
      </c>
      <c r="B22" s="32" t="s">
        <v>71</v>
      </c>
      <c r="C22" s="131">
        <v>17553.25</v>
      </c>
      <c r="D22" s="150"/>
      <c r="E22" s="150"/>
      <c r="F22" s="150"/>
      <c r="G22" s="150"/>
      <c r="H22" s="150"/>
      <c r="I22" s="150">
        <v>5280.12</v>
      </c>
      <c r="J22" s="150"/>
      <c r="K22" s="150">
        <v>4110.06</v>
      </c>
      <c r="L22" s="150"/>
      <c r="M22" s="150"/>
      <c r="N22" s="150"/>
      <c r="O22" s="150">
        <v>706.49</v>
      </c>
      <c r="P22" s="213">
        <f t="shared" si="12"/>
        <v>10096.67</v>
      </c>
      <c r="Q22" s="127">
        <f t="shared" si="0"/>
        <v>21732.538010935434</v>
      </c>
      <c r="R22" s="125">
        <f t="shared" si="1"/>
        <v>21732.537522469745</v>
      </c>
      <c r="S22" s="125">
        <f t="shared" si="2"/>
        <v>21213.34619646939</v>
      </c>
      <c r="T22" s="125">
        <f t="shared" si="3"/>
        <v>21732.537529548186</v>
      </c>
      <c r="U22" s="125">
        <f t="shared" si="4"/>
        <v>21080.7902514817</v>
      </c>
      <c r="V22" s="125">
        <f t="shared" si="5"/>
        <v>21732.432203962275</v>
      </c>
      <c r="W22" s="125">
        <f t="shared" si="6"/>
        <v>21732.538355849218</v>
      </c>
      <c r="X22" s="125">
        <f t="shared" si="7"/>
        <v>21732.537867100742</v>
      </c>
      <c r="Y22" s="125">
        <f t="shared" si="8"/>
        <v>21418.890151998658</v>
      </c>
      <c r="Z22" s="125">
        <f t="shared" si="9"/>
        <v>20950.935849251448</v>
      </c>
      <c r="AA22" s="125">
        <f t="shared" si="10"/>
        <v>21732.53771799777</v>
      </c>
      <c r="AB22" s="125">
        <f t="shared" si="11"/>
        <v>21315.507886807238</v>
      </c>
      <c r="AC22" s="215">
        <f t="shared" si="13"/>
        <v>258107.1295438718</v>
      </c>
      <c r="AD22" s="137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217">
        <f t="shared" si="14"/>
        <v>0</v>
      </c>
      <c r="AQ22" s="205">
        <f t="shared" si="15"/>
        <v>268203.7995438718</v>
      </c>
    </row>
    <row r="23" spans="1:43" ht="12" customHeight="1">
      <c r="A23" s="41">
        <v>17</v>
      </c>
      <c r="B23" s="32" t="s">
        <v>72</v>
      </c>
      <c r="C23" s="131">
        <v>1121</v>
      </c>
      <c r="D23" s="150"/>
      <c r="E23" s="150"/>
      <c r="F23" s="150"/>
      <c r="G23" s="150"/>
      <c r="H23" s="150"/>
      <c r="I23" s="150"/>
      <c r="J23" s="150"/>
      <c r="K23" s="150"/>
      <c r="L23" s="150">
        <v>25782.84</v>
      </c>
      <c r="M23" s="150"/>
      <c r="N23" s="150"/>
      <c r="O23" s="150">
        <f>706.49+6240</f>
        <v>6946.49</v>
      </c>
      <c r="P23" s="213">
        <f t="shared" si="12"/>
        <v>32729.33</v>
      </c>
      <c r="Q23" s="127">
        <f t="shared" si="0"/>
        <v>1387.9011072171033</v>
      </c>
      <c r="R23" s="125">
        <f t="shared" si="1"/>
        <v>1387.9010760223082</v>
      </c>
      <c r="S23" s="125">
        <f t="shared" si="2"/>
        <v>1354.74405516028</v>
      </c>
      <c r="T23" s="125">
        <f t="shared" si="3"/>
        <v>1387.9010764743578</v>
      </c>
      <c r="U23" s="125">
        <f t="shared" si="4"/>
        <v>1346.2786590466712</v>
      </c>
      <c r="V23" s="125">
        <f t="shared" si="5"/>
        <v>1387.894350085694</v>
      </c>
      <c r="W23" s="125">
        <f t="shared" si="6"/>
        <v>1387.9011292442694</v>
      </c>
      <c r="X23" s="125">
        <f t="shared" si="7"/>
        <v>1387.901098031415</v>
      </c>
      <c r="Y23" s="125">
        <f t="shared" si="8"/>
        <v>1367.8706712654632</v>
      </c>
      <c r="Z23" s="125">
        <f t="shared" si="9"/>
        <v>1337.9857910649523</v>
      </c>
      <c r="AA23" s="125">
        <f t="shared" si="10"/>
        <v>1387.901088509279</v>
      </c>
      <c r="AB23" s="125">
        <f t="shared" si="11"/>
        <v>1361.268388538357</v>
      </c>
      <c r="AC23" s="215">
        <f t="shared" si="13"/>
        <v>16483.44849066015</v>
      </c>
      <c r="AD23" s="137"/>
      <c r="AE23" s="134"/>
      <c r="AF23" s="134"/>
      <c r="AG23" s="134"/>
      <c r="AH23" s="134"/>
      <c r="AI23" s="134"/>
      <c r="AJ23" s="134"/>
      <c r="AK23" s="134"/>
      <c r="AL23" s="134">
        <v>1825.69</v>
      </c>
      <c r="AM23" s="134"/>
      <c r="AN23" s="134"/>
      <c r="AO23" s="134"/>
      <c r="AP23" s="217">
        <f t="shared" si="14"/>
        <v>1825.69</v>
      </c>
      <c r="AQ23" s="205">
        <f t="shared" si="15"/>
        <v>51038.468490660154</v>
      </c>
    </row>
    <row r="24" spans="1:43" ht="12" customHeight="1">
      <c r="A24" s="41">
        <v>18</v>
      </c>
      <c r="B24" s="32" t="s">
        <v>73</v>
      </c>
      <c r="C24" s="131">
        <v>1478.26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>
        <f>706.49+6240</f>
        <v>6946.49</v>
      </c>
      <c r="P24" s="213">
        <f t="shared" si="12"/>
        <v>6946.49</v>
      </c>
      <c r="Q24" s="127">
        <f t="shared" si="0"/>
        <v>1830.2218472388538</v>
      </c>
      <c r="R24" s="125">
        <f t="shared" si="1"/>
        <v>1830.2218061023527</v>
      </c>
      <c r="S24" s="125">
        <f t="shared" si="2"/>
        <v>1786.4977225523953</v>
      </c>
      <c r="T24" s="125">
        <f t="shared" si="3"/>
        <v>1830.221806698469</v>
      </c>
      <c r="U24" s="125">
        <f t="shared" si="4"/>
        <v>1775.3344250868263</v>
      </c>
      <c r="V24" s="125">
        <f t="shared" si="5"/>
        <v>1830.2129366259394</v>
      </c>
      <c r="W24" s="125">
        <f t="shared" si="6"/>
        <v>1830.2218762860246</v>
      </c>
      <c r="X24" s="125">
        <f t="shared" si="7"/>
        <v>1830.2218351257086</v>
      </c>
      <c r="Y24" s="125">
        <f t="shared" si="8"/>
        <v>1803.8077595940088</v>
      </c>
      <c r="Z24" s="125">
        <f t="shared" si="9"/>
        <v>1764.3986400532349</v>
      </c>
      <c r="AA24" s="125">
        <f t="shared" si="10"/>
        <v>1830.2218225688905</v>
      </c>
      <c r="AB24" s="125">
        <f t="shared" si="11"/>
        <v>1795.1013452637924</v>
      </c>
      <c r="AC24" s="215">
        <f t="shared" si="13"/>
        <v>21736.683823196498</v>
      </c>
      <c r="AD24" s="137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217">
        <f t="shared" si="14"/>
        <v>0</v>
      </c>
      <c r="AQ24" s="205">
        <f t="shared" si="15"/>
        <v>28683.1738231965</v>
      </c>
    </row>
    <row r="25" spans="1:43" ht="12" customHeight="1">
      <c r="A25" s="41">
        <v>19</v>
      </c>
      <c r="B25" s="32" t="s">
        <v>74</v>
      </c>
      <c r="C25" s="131">
        <v>1585.53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>
        <v>43425.33</v>
      </c>
      <c r="O25" s="150">
        <f>706.49+6240</f>
        <v>6946.49</v>
      </c>
      <c r="P25" s="213">
        <f t="shared" si="12"/>
        <v>50371.82</v>
      </c>
      <c r="Q25" s="127">
        <f t="shared" si="0"/>
        <v>1963.031973707345</v>
      </c>
      <c r="R25" s="125">
        <f t="shared" si="1"/>
        <v>1963.031929585772</v>
      </c>
      <c r="S25" s="125">
        <f t="shared" si="2"/>
        <v>1916.1350060466355</v>
      </c>
      <c r="T25" s="125">
        <f t="shared" si="3"/>
        <v>1963.0319302251455</v>
      </c>
      <c r="U25" s="125">
        <f t="shared" si="4"/>
        <v>1904.1616434239684</v>
      </c>
      <c r="V25" s="125">
        <f t="shared" si="5"/>
        <v>1963.022416495424</v>
      </c>
      <c r="W25" s="125">
        <f t="shared" si="6"/>
        <v>1963.032004862325</v>
      </c>
      <c r="X25" s="125">
        <f t="shared" si="7"/>
        <v>1963.031960715209</v>
      </c>
      <c r="Y25" s="125">
        <f t="shared" si="8"/>
        <v>1934.701146665058</v>
      </c>
      <c r="Z25" s="125">
        <f t="shared" si="9"/>
        <v>1892.432302682617</v>
      </c>
      <c r="AA25" s="125">
        <f t="shared" si="10"/>
        <v>1963.031947247205</v>
      </c>
      <c r="AB25" s="125">
        <f t="shared" si="11"/>
        <v>1925.3629510073335</v>
      </c>
      <c r="AC25" s="215">
        <f t="shared" si="13"/>
        <v>23314.007212664033</v>
      </c>
      <c r="AD25" s="137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>
        <v>1369.28</v>
      </c>
      <c r="AO25" s="134"/>
      <c r="AP25" s="217">
        <f t="shared" si="14"/>
        <v>1369.28</v>
      </c>
      <c r="AQ25" s="205">
        <f t="shared" si="15"/>
        <v>75055.10721266404</v>
      </c>
    </row>
    <row r="26" spans="1:43" ht="12" customHeight="1">
      <c r="A26" s="41">
        <v>20</v>
      </c>
      <c r="B26" s="32" t="s">
        <v>75</v>
      </c>
      <c r="C26" s="131">
        <v>9307.17</v>
      </c>
      <c r="D26" s="150">
        <f>771.49</f>
        <v>771.49</v>
      </c>
      <c r="E26" s="150"/>
      <c r="F26" s="150"/>
      <c r="G26" s="150"/>
      <c r="H26" s="150"/>
      <c r="I26" s="150"/>
      <c r="J26" s="150">
        <v>2300.36</v>
      </c>
      <c r="K26" s="150"/>
      <c r="L26" s="150"/>
      <c r="M26" s="150"/>
      <c r="N26" s="150"/>
      <c r="O26" s="150"/>
      <c r="P26" s="213">
        <f t="shared" si="12"/>
        <v>3071.8500000000004</v>
      </c>
      <c r="Q26" s="127">
        <f t="shared" si="0"/>
        <v>11523.132513878509</v>
      </c>
      <c r="R26" s="125">
        <f t="shared" si="1"/>
        <v>11523.132254881844</v>
      </c>
      <c r="S26" s="125">
        <f t="shared" si="2"/>
        <v>11247.844092654863</v>
      </c>
      <c r="T26" s="125">
        <f t="shared" si="3"/>
        <v>11523.13225863501</v>
      </c>
      <c r="U26" s="125">
        <f t="shared" si="4"/>
        <v>11177.559631685466</v>
      </c>
      <c r="V26" s="125">
        <f t="shared" si="5"/>
        <v>11523.076412388109</v>
      </c>
      <c r="W26" s="125">
        <f t="shared" si="6"/>
        <v>11523.13269676038</v>
      </c>
      <c r="X26" s="125">
        <f t="shared" si="7"/>
        <v>11523.132437613776</v>
      </c>
      <c r="Y26" s="125">
        <f t="shared" si="8"/>
        <v>11356.828613275455</v>
      </c>
      <c r="Z26" s="125">
        <f t="shared" si="9"/>
        <v>11108.707595919708</v>
      </c>
      <c r="AA26" s="125">
        <f t="shared" si="10"/>
        <v>11523.132358555667</v>
      </c>
      <c r="AB26" s="125">
        <f t="shared" si="11"/>
        <v>11302.012763383174</v>
      </c>
      <c r="AC26" s="215">
        <f t="shared" si="13"/>
        <v>136854.82362963198</v>
      </c>
      <c r="AD26" s="137">
        <f>16431.24</f>
        <v>16431.24</v>
      </c>
      <c r="AE26" s="134"/>
      <c r="AF26" s="134"/>
      <c r="AG26" s="134"/>
      <c r="AH26" s="134"/>
      <c r="AI26" s="134"/>
      <c r="AJ26" s="134">
        <v>16431.24</v>
      </c>
      <c r="AK26" s="134"/>
      <c r="AL26" s="134"/>
      <c r="AM26" s="134"/>
      <c r="AN26" s="134"/>
      <c r="AO26" s="134"/>
      <c r="AP26" s="217">
        <f t="shared" si="14"/>
        <v>32862.48</v>
      </c>
      <c r="AQ26" s="205">
        <f t="shared" si="15"/>
        <v>172789.153629632</v>
      </c>
    </row>
    <row r="27" spans="1:43" ht="12" customHeight="1">
      <c r="A27" s="41">
        <v>21</v>
      </c>
      <c r="B27" s="32" t="s">
        <v>76</v>
      </c>
      <c r="C27" s="131">
        <v>1988</v>
      </c>
      <c r="D27" s="150"/>
      <c r="E27" s="150"/>
      <c r="F27" s="150"/>
      <c r="G27" s="150"/>
      <c r="H27" s="150"/>
      <c r="I27" s="150"/>
      <c r="J27" s="150"/>
      <c r="K27" s="150">
        <v>41900.59</v>
      </c>
      <c r="L27" s="150"/>
      <c r="M27" s="150"/>
      <c r="N27" s="150"/>
      <c r="O27" s="150">
        <f>706.49+6240</f>
        <v>6946.49</v>
      </c>
      <c r="P27" s="213">
        <f t="shared" si="12"/>
        <v>48847.079999999994</v>
      </c>
      <c r="Q27" s="127">
        <f t="shared" si="0"/>
        <v>2461.3268520496</v>
      </c>
      <c r="R27" s="125">
        <f t="shared" si="1"/>
        <v>2461.3267967282327</v>
      </c>
      <c r="S27" s="125">
        <f t="shared" si="2"/>
        <v>2402.525585779337</v>
      </c>
      <c r="T27" s="125">
        <f t="shared" si="3"/>
        <v>2461.3267975299045</v>
      </c>
      <c r="U27" s="125">
        <f t="shared" si="4"/>
        <v>2387.5129118508316</v>
      </c>
      <c r="V27" s="125">
        <f t="shared" si="5"/>
        <v>2461.3148688406422</v>
      </c>
      <c r="W27" s="125">
        <f t="shared" si="6"/>
        <v>2461.326891112941</v>
      </c>
      <c r="X27" s="125">
        <f t="shared" si="7"/>
        <v>2461.3268357595475</v>
      </c>
      <c r="Y27" s="125">
        <f t="shared" si="8"/>
        <v>2425.8045445813927</v>
      </c>
      <c r="Z27" s="125">
        <f t="shared" si="9"/>
        <v>2372.8062021740634</v>
      </c>
      <c r="AA27" s="125">
        <f t="shared" si="10"/>
        <v>2461.3268188728334</v>
      </c>
      <c r="AB27" s="125">
        <f t="shared" si="11"/>
        <v>2414.095946845899</v>
      </c>
      <c r="AC27" s="215">
        <f t="shared" si="13"/>
        <v>29232.021052125223</v>
      </c>
      <c r="AD27" s="137"/>
      <c r="AE27" s="134"/>
      <c r="AF27" s="134"/>
      <c r="AG27" s="134"/>
      <c r="AH27" s="134"/>
      <c r="AI27" s="134"/>
      <c r="AJ27" s="134"/>
      <c r="AK27" s="134">
        <v>2738.55</v>
      </c>
      <c r="AL27" s="134"/>
      <c r="AM27" s="134"/>
      <c r="AN27" s="134"/>
      <c r="AO27" s="134"/>
      <c r="AP27" s="217">
        <f t="shared" si="14"/>
        <v>2738.55</v>
      </c>
      <c r="AQ27" s="205">
        <f t="shared" si="15"/>
        <v>80817.65105212522</v>
      </c>
    </row>
    <row r="28" spans="1:43" ht="12" customHeight="1">
      <c r="A28" s="41">
        <v>22</v>
      </c>
      <c r="B28" s="32" t="s">
        <v>77</v>
      </c>
      <c r="C28" s="131">
        <v>1993.9</v>
      </c>
      <c r="D28" s="150"/>
      <c r="E28" s="150"/>
      <c r="F28" s="150"/>
      <c r="G28" s="150"/>
      <c r="H28" s="150"/>
      <c r="I28" s="150"/>
      <c r="J28" s="150"/>
      <c r="K28" s="150">
        <v>33923.38</v>
      </c>
      <c r="L28" s="150"/>
      <c r="M28" s="150"/>
      <c r="N28" s="150"/>
      <c r="O28" s="150">
        <f>706.49+6240</f>
        <v>6946.49</v>
      </c>
      <c r="P28" s="213">
        <f t="shared" si="12"/>
        <v>40869.869999999995</v>
      </c>
      <c r="Q28" s="127">
        <f t="shared" si="0"/>
        <v>2468.6315947191633</v>
      </c>
      <c r="R28" s="125">
        <f t="shared" si="1"/>
        <v>2468.6315392336137</v>
      </c>
      <c r="S28" s="125">
        <f t="shared" si="2"/>
        <v>2409.655817648601</v>
      </c>
      <c r="T28" s="125">
        <f t="shared" si="3"/>
        <v>2468.6315400376643</v>
      </c>
      <c r="U28" s="125">
        <f t="shared" si="4"/>
        <v>2394.598589003709</v>
      </c>
      <c r="V28" s="125">
        <f t="shared" si="5"/>
        <v>2468.6195759463562</v>
      </c>
      <c r="W28" s="125">
        <f t="shared" si="6"/>
        <v>2468.631633898438</v>
      </c>
      <c r="X28" s="125">
        <f t="shared" si="7"/>
        <v>2468.631578380766</v>
      </c>
      <c r="Y28" s="125">
        <f t="shared" si="8"/>
        <v>2433.0038639038426</v>
      </c>
      <c r="Z28" s="125">
        <f t="shared" si="9"/>
        <v>2379.8482326533526</v>
      </c>
      <c r="AA28" s="125">
        <f t="shared" si="10"/>
        <v>2468.631561443935</v>
      </c>
      <c r="AB28" s="125">
        <f t="shared" si="11"/>
        <v>2421.260517311891</v>
      </c>
      <c r="AC28" s="215">
        <f t="shared" si="13"/>
        <v>29318.77604418133</v>
      </c>
      <c r="AD28" s="137"/>
      <c r="AE28" s="134"/>
      <c r="AF28" s="134"/>
      <c r="AG28" s="134"/>
      <c r="AH28" s="134"/>
      <c r="AI28" s="134"/>
      <c r="AJ28" s="134"/>
      <c r="AK28" s="134">
        <v>2738.55</v>
      </c>
      <c r="AL28" s="134"/>
      <c r="AM28" s="134"/>
      <c r="AN28" s="134"/>
      <c r="AO28" s="134"/>
      <c r="AP28" s="217">
        <f t="shared" si="14"/>
        <v>2738.55</v>
      </c>
      <c r="AQ28" s="205">
        <f t="shared" si="15"/>
        <v>72927.19604418133</v>
      </c>
    </row>
    <row r="29" spans="1:43" ht="12" customHeight="1">
      <c r="A29" s="41">
        <v>23</v>
      </c>
      <c r="B29" s="32" t="s">
        <v>78</v>
      </c>
      <c r="C29" s="131">
        <v>1632.8</v>
      </c>
      <c r="D29" s="150"/>
      <c r="E29" s="150"/>
      <c r="F29" s="150"/>
      <c r="G29" s="150"/>
      <c r="H29" s="150"/>
      <c r="I29" s="150"/>
      <c r="J29" s="150"/>
      <c r="K29" s="150">
        <v>30657.34</v>
      </c>
      <c r="L29" s="150"/>
      <c r="M29" s="150"/>
      <c r="N29" s="150"/>
      <c r="O29" s="150">
        <f>706.49+6240</f>
        <v>6946.49</v>
      </c>
      <c r="P29" s="213">
        <f t="shared" si="12"/>
        <v>37603.83</v>
      </c>
      <c r="Q29" s="127">
        <f t="shared" si="0"/>
        <v>2021.556581502307</v>
      </c>
      <c r="R29" s="125">
        <f t="shared" si="1"/>
        <v>2021.5565360653213</v>
      </c>
      <c r="S29" s="125">
        <f t="shared" si="2"/>
        <v>1973.261456972083</v>
      </c>
      <c r="T29" s="125">
        <f t="shared" si="3"/>
        <v>2021.5565367237564</v>
      </c>
      <c r="U29" s="125">
        <f t="shared" si="4"/>
        <v>1960.9311280030372</v>
      </c>
      <c r="V29" s="125">
        <f t="shared" si="5"/>
        <v>2021.5467393576462</v>
      </c>
      <c r="W29" s="125">
        <f t="shared" si="6"/>
        <v>2021.556613586122</v>
      </c>
      <c r="X29" s="125">
        <f t="shared" si="7"/>
        <v>2021.5565681228315</v>
      </c>
      <c r="Y29" s="125">
        <f t="shared" si="8"/>
        <v>1992.381116897635</v>
      </c>
      <c r="Z29" s="125">
        <f t="shared" si="9"/>
        <v>1948.8520960310918</v>
      </c>
      <c r="AA29" s="125">
        <f t="shared" si="10"/>
        <v>2021.5565542533009</v>
      </c>
      <c r="AB29" s="125">
        <f t="shared" si="11"/>
        <v>1982.7645181136745</v>
      </c>
      <c r="AC29" s="215">
        <f t="shared" si="13"/>
        <v>24009.07644562881</v>
      </c>
      <c r="AD29" s="137"/>
      <c r="AE29" s="134"/>
      <c r="AF29" s="134"/>
      <c r="AG29" s="134"/>
      <c r="AH29" s="134"/>
      <c r="AI29" s="134"/>
      <c r="AJ29" s="134"/>
      <c r="AK29" s="134">
        <v>2282.12</v>
      </c>
      <c r="AL29" s="134"/>
      <c r="AM29" s="134"/>
      <c r="AN29" s="134"/>
      <c r="AO29" s="134"/>
      <c r="AP29" s="217">
        <f t="shared" si="14"/>
        <v>2282.12</v>
      </c>
      <c r="AQ29" s="205">
        <f t="shared" si="15"/>
        <v>63895.02644562881</v>
      </c>
    </row>
    <row r="30" spans="1:43" ht="12" customHeight="1" thickBot="1">
      <c r="A30" s="70">
        <v>23</v>
      </c>
      <c r="B30" s="71" t="s">
        <v>3</v>
      </c>
      <c r="C30" s="149">
        <f aca="true" t="shared" si="16" ref="C30:L30">SUM(C7:C29)</f>
        <v>104136.78999999998</v>
      </c>
      <c r="D30" s="166">
        <f t="shared" si="16"/>
        <v>31709.170000000002</v>
      </c>
      <c r="E30" s="166">
        <f t="shared" si="16"/>
        <v>0</v>
      </c>
      <c r="F30" s="166">
        <f t="shared" si="16"/>
        <v>129866.65999999999</v>
      </c>
      <c r="G30" s="176">
        <f t="shared" si="16"/>
        <v>97078.98999999999</v>
      </c>
      <c r="H30" s="166">
        <f t="shared" si="16"/>
        <v>75599.91</v>
      </c>
      <c r="I30" s="166">
        <f t="shared" si="16"/>
        <v>168546.46</v>
      </c>
      <c r="J30" s="182">
        <f t="shared" si="16"/>
        <v>5912.9</v>
      </c>
      <c r="K30" s="182">
        <f t="shared" si="16"/>
        <v>191074.03</v>
      </c>
      <c r="L30" s="182">
        <f t="shared" si="16"/>
        <v>96414.95</v>
      </c>
      <c r="M30" s="182">
        <f>SUM(M7:M29)</f>
        <v>101815.5</v>
      </c>
      <c r="N30" s="182">
        <f>SUM(N7:N29)</f>
        <v>116226.18000000001</v>
      </c>
      <c r="O30" s="182">
        <f>SUM(O7:O29)</f>
        <v>192221.10999999993</v>
      </c>
      <c r="P30" s="214">
        <f aca="true" t="shared" si="17" ref="P30:AQ30">SUM(P7:P29)</f>
        <v>1206465.8599999999</v>
      </c>
      <c r="Q30" s="151">
        <f t="shared" si="17"/>
        <v>128930.92430243974</v>
      </c>
      <c r="R30" s="165">
        <f t="shared" si="17"/>
        <v>128930.92140455768</v>
      </c>
      <c r="S30" s="165">
        <f t="shared" si="17"/>
        <v>125850.75573235904</v>
      </c>
      <c r="T30" s="165">
        <f t="shared" si="17"/>
        <v>128930.92144655141</v>
      </c>
      <c r="U30" s="165">
        <f t="shared" si="17"/>
        <v>125064.35147067333</v>
      </c>
      <c r="V30" s="165">
        <f t="shared" si="17"/>
        <v>128930.29658970599</v>
      </c>
      <c r="W30" s="165">
        <f t="shared" si="17"/>
        <v>128930.92634868273</v>
      </c>
      <c r="X30" s="165">
        <f t="shared" si="17"/>
        <v>128930.92344912297</v>
      </c>
      <c r="Y30" s="165">
        <f t="shared" si="17"/>
        <v>127070.17024150812</v>
      </c>
      <c r="Z30" s="165">
        <f t="shared" si="17"/>
        <v>124293.97443988832</v>
      </c>
      <c r="AA30" s="165">
        <f t="shared" si="17"/>
        <v>128930.92256455145</v>
      </c>
      <c r="AB30" s="165">
        <f t="shared" si="17"/>
        <v>126456.84238256673</v>
      </c>
      <c r="AC30" s="216">
        <f t="shared" si="17"/>
        <v>1531251.9303726074</v>
      </c>
      <c r="AD30" s="151">
        <f t="shared" si="17"/>
        <v>41534.54</v>
      </c>
      <c r="AE30" s="165">
        <f t="shared" si="17"/>
        <v>0</v>
      </c>
      <c r="AF30" s="165">
        <f t="shared" si="17"/>
        <v>18256.94</v>
      </c>
      <c r="AG30" s="165">
        <f t="shared" si="17"/>
        <v>18256.94</v>
      </c>
      <c r="AH30" s="165">
        <f t="shared" si="17"/>
        <v>36513.88</v>
      </c>
      <c r="AI30" s="165">
        <f t="shared" si="17"/>
        <v>2282.12</v>
      </c>
      <c r="AJ30" s="165">
        <f t="shared" si="17"/>
        <v>39708.840000000004</v>
      </c>
      <c r="AK30" s="165">
        <f t="shared" si="17"/>
        <v>7759.22</v>
      </c>
      <c r="AL30" s="165">
        <f t="shared" si="17"/>
        <v>1825.69</v>
      </c>
      <c r="AM30" s="165">
        <f t="shared" si="17"/>
        <v>9128.47</v>
      </c>
      <c r="AN30" s="165">
        <f t="shared" si="17"/>
        <v>1369.28</v>
      </c>
      <c r="AO30" s="165">
        <f t="shared" si="17"/>
        <v>9128.47</v>
      </c>
      <c r="AP30" s="216">
        <f t="shared" si="17"/>
        <v>185764.38999999998</v>
      </c>
      <c r="AQ30" s="218">
        <f t="shared" si="17"/>
        <v>2923482.180372608</v>
      </c>
    </row>
    <row r="31" ht="9.75">
      <c r="AQ31" s="112"/>
    </row>
    <row r="32" spans="1:24" ht="9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9.75">
      <c r="A33" s="51"/>
      <c r="B33" s="114"/>
      <c r="C33" s="115"/>
      <c r="D33" s="115"/>
      <c r="E33" s="115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9.75">
      <c r="A34" s="51"/>
      <c r="B34" s="168" t="s">
        <v>191</v>
      </c>
      <c r="C34" s="266" t="s">
        <v>192</v>
      </c>
      <c r="D34" s="266"/>
      <c r="E34" s="266"/>
      <c r="F34" s="266"/>
      <c r="G34" s="266"/>
      <c r="H34" s="266"/>
      <c r="I34" s="266"/>
      <c r="J34" s="180">
        <v>771.49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9.75">
      <c r="A35" s="51"/>
      <c r="B35" s="168" t="s">
        <v>195</v>
      </c>
      <c r="C35" s="249" t="s">
        <v>194</v>
      </c>
      <c r="D35" s="249"/>
      <c r="E35" s="249"/>
      <c r="F35" s="249"/>
      <c r="G35" s="249"/>
      <c r="H35" s="249"/>
      <c r="I35" s="249"/>
      <c r="J35" s="180">
        <v>30937.68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45" ht="11.25" customHeight="1">
      <c r="A36" s="51"/>
      <c r="B36" s="168" t="s">
        <v>202</v>
      </c>
      <c r="C36" s="240" t="s">
        <v>203</v>
      </c>
      <c r="D36" s="240"/>
      <c r="E36" s="240"/>
      <c r="F36" s="240"/>
      <c r="G36" s="240"/>
      <c r="H36" s="240"/>
      <c r="I36" s="240"/>
      <c r="J36" s="173">
        <v>128881.48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</row>
    <row r="37" spans="1:24" ht="9.75">
      <c r="A37" s="51"/>
      <c r="B37" s="168" t="s">
        <v>206</v>
      </c>
      <c r="C37" s="249" t="s">
        <v>207</v>
      </c>
      <c r="D37" s="249"/>
      <c r="E37" s="249"/>
      <c r="F37" s="249"/>
      <c r="G37" s="249"/>
      <c r="H37" s="249"/>
      <c r="I37" s="249"/>
      <c r="J37" s="180">
        <v>985.18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35" ht="9.75">
      <c r="A38" s="51"/>
      <c r="B38" s="171" t="s">
        <v>220</v>
      </c>
      <c r="C38" s="265" t="s">
        <v>221</v>
      </c>
      <c r="D38" s="265"/>
      <c r="E38" s="265"/>
      <c r="F38" s="265"/>
      <c r="G38" s="265"/>
      <c r="H38" s="265"/>
      <c r="I38" s="265"/>
      <c r="J38" s="180">
        <v>9977.4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AI38" s="181"/>
    </row>
    <row r="39" spans="1:45" ht="11.25" customHeight="1">
      <c r="A39" s="51"/>
      <c r="B39" s="171" t="s">
        <v>222</v>
      </c>
      <c r="C39" s="265" t="s">
        <v>223</v>
      </c>
      <c r="D39" s="265"/>
      <c r="E39" s="265"/>
      <c r="F39" s="265"/>
      <c r="G39" s="265"/>
      <c r="H39" s="265"/>
      <c r="I39" s="265"/>
      <c r="J39" s="174">
        <v>4223.95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</row>
    <row r="40" spans="1:43" ht="11.25" customHeight="1">
      <c r="A40" s="51"/>
      <c r="B40" s="171" t="s">
        <v>225</v>
      </c>
      <c r="C40" s="265" t="s">
        <v>226</v>
      </c>
      <c r="D40" s="265"/>
      <c r="E40" s="265"/>
      <c r="F40" s="265"/>
      <c r="G40" s="265"/>
      <c r="H40" s="265"/>
      <c r="I40" s="265"/>
      <c r="J40" s="174">
        <v>1537.94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</row>
    <row r="41" spans="1:44" ht="11.25" customHeight="1">
      <c r="A41" s="51"/>
      <c r="B41" s="168" t="s">
        <v>231</v>
      </c>
      <c r="C41" s="240" t="s">
        <v>232</v>
      </c>
      <c r="D41" s="240"/>
      <c r="E41" s="240"/>
      <c r="F41" s="240"/>
      <c r="G41" s="240"/>
      <c r="H41" s="240"/>
      <c r="I41" s="240"/>
      <c r="J41" s="173">
        <v>81339.7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10" ht="9.75">
      <c r="A42" s="51"/>
      <c r="B42" s="171" t="s">
        <v>243</v>
      </c>
      <c r="C42" s="240" t="s">
        <v>244</v>
      </c>
      <c r="D42" s="240"/>
      <c r="E42" s="240"/>
      <c r="F42" s="240"/>
      <c r="G42" s="240"/>
      <c r="H42" s="240"/>
      <c r="I42" s="240"/>
      <c r="J42" s="173">
        <v>1663.48</v>
      </c>
    </row>
    <row r="43" spans="1:46" ht="11.25" customHeight="1">
      <c r="A43" s="51"/>
      <c r="B43" s="171" t="s">
        <v>245</v>
      </c>
      <c r="C43" s="240" t="s">
        <v>246</v>
      </c>
      <c r="D43" s="240"/>
      <c r="E43" s="240"/>
      <c r="F43" s="240"/>
      <c r="G43" s="240"/>
      <c r="H43" s="240"/>
      <c r="I43" s="240"/>
      <c r="J43" s="173">
        <v>1378.49</v>
      </c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</row>
    <row r="44" spans="1:10" ht="9.75">
      <c r="A44" s="51"/>
      <c r="B44" s="171" t="s">
        <v>220</v>
      </c>
      <c r="C44" s="240" t="s">
        <v>247</v>
      </c>
      <c r="D44" s="240"/>
      <c r="E44" s="240"/>
      <c r="F44" s="240"/>
      <c r="G44" s="240"/>
      <c r="H44" s="240"/>
      <c r="I44" s="240"/>
      <c r="J44" s="173">
        <v>72557.94</v>
      </c>
    </row>
    <row r="45" spans="1:43" ht="11.25" customHeight="1">
      <c r="A45" s="51"/>
      <c r="B45" s="171" t="s">
        <v>248</v>
      </c>
      <c r="C45" s="240" t="s">
        <v>249</v>
      </c>
      <c r="D45" s="240"/>
      <c r="E45" s="240"/>
      <c r="F45" s="240"/>
      <c r="G45" s="240"/>
      <c r="H45" s="240"/>
      <c r="I45" s="240"/>
      <c r="J45" s="173">
        <v>27416.99</v>
      </c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</row>
    <row r="46" spans="1:44" ht="11.25" customHeight="1">
      <c r="A46" s="51"/>
      <c r="B46" s="171" t="s">
        <v>245</v>
      </c>
      <c r="C46" s="240" t="s">
        <v>250</v>
      </c>
      <c r="D46" s="240"/>
      <c r="E46" s="240"/>
      <c r="F46" s="240"/>
      <c r="G46" s="240"/>
      <c r="H46" s="240"/>
      <c r="I46" s="240"/>
      <c r="J46" s="173">
        <v>70846.65</v>
      </c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</row>
    <row r="47" spans="1:43" ht="11.25" customHeight="1">
      <c r="A47" s="51"/>
      <c r="B47" s="171" t="s">
        <v>220</v>
      </c>
      <c r="C47" s="240" t="s">
        <v>255</v>
      </c>
      <c r="D47" s="240"/>
      <c r="E47" s="240"/>
      <c r="F47" s="240"/>
      <c r="G47" s="240"/>
      <c r="H47" s="240"/>
      <c r="I47" s="240"/>
      <c r="J47" s="173">
        <v>6500.27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</row>
    <row r="48" spans="1:44" ht="11.25" customHeight="1">
      <c r="A48" s="51"/>
      <c r="B48" s="171" t="s">
        <v>231</v>
      </c>
      <c r="C48" s="240" t="s">
        <v>255</v>
      </c>
      <c r="D48" s="240"/>
      <c r="E48" s="240"/>
      <c r="F48" s="240"/>
      <c r="G48" s="240"/>
      <c r="H48" s="240"/>
      <c r="I48" s="240"/>
      <c r="J48" s="173">
        <v>6500.27</v>
      </c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</row>
    <row r="49" spans="1:43" ht="11.25" customHeight="1">
      <c r="A49" s="51"/>
      <c r="B49" s="171" t="s">
        <v>245</v>
      </c>
      <c r="C49" s="240" t="s">
        <v>255</v>
      </c>
      <c r="D49" s="240"/>
      <c r="E49" s="240"/>
      <c r="F49" s="240"/>
      <c r="G49" s="240"/>
      <c r="H49" s="240"/>
      <c r="I49" s="240"/>
      <c r="J49" s="173">
        <v>6500.27</v>
      </c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</row>
    <row r="50" spans="1:43" ht="11.25" customHeight="1">
      <c r="A50" s="51"/>
      <c r="B50" s="171" t="s">
        <v>206</v>
      </c>
      <c r="C50" s="240" t="s">
        <v>255</v>
      </c>
      <c r="D50" s="240"/>
      <c r="E50" s="240"/>
      <c r="F50" s="240"/>
      <c r="G50" s="240"/>
      <c r="H50" s="240"/>
      <c r="I50" s="240"/>
      <c r="J50" s="173">
        <v>6500.27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</row>
    <row r="51" spans="1:43" ht="11.25" customHeight="1">
      <c r="A51" s="51"/>
      <c r="B51" s="171" t="s">
        <v>256</v>
      </c>
      <c r="C51" s="240" t="s">
        <v>255</v>
      </c>
      <c r="D51" s="240"/>
      <c r="E51" s="240"/>
      <c r="F51" s="240"/>
      <c r="G51" s="240"/>
      <c r="H51" s="240"/>
      <c r="I51" s="240"/>
      <c r="J51" s="173">
        <v>6500.27</v>
      </c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</row>
    <row r="52" spans="1:47" ht="11.25" customHeight="1">
      <c r="A52" s="51"/>
      <c r="B52" s="171" t="s">
        <v>243</v>
      </c>
      <c r="C52" s="240" t="s">
        <v>255</v>
      </c>
      <c r="D52" s="240"/>
      <c r="E52" s="240"/>
      <c r="F52" s="240"/>
      <c r="G52" s="240"/>
      <c r="H52" s="240"/>
      <c r="I52" s="240"/>
      <c r="J52" s="173">
        <v>6500.27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</row>
    <row r="53" spans="1:46" ht="11.25" customHeight="1">
      <c r="A53" s="51"/>
      <c r="B53" s="171" t="s">
        <v>257</v>
      </c>
      <c r="C53" s="240" t="s">
        <v>255</v>
      </c>
      <c r="D53" s="240"/>
      <c r="E53" s="240"/>
      <c r="F53" s="240"/>
      <c r="G53" s="240"/>
      <c r="H53" s="240"/>
      <c r="I53" s="240"/>
      <c r="J53" s="173">
        <v>6500.27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</row>
    <row r="54" spans="2:45" ht="11.25" customHeight="1">
      <c r="B54" s="171" t="s">
        <v>202</v>
      </c>
      <c r="C54" s="240" t="s">
        <v>255</v>
      </c>
      <c r="D54" s="240"/>
      <c r="E54" s="240"/>
      <c r="F54" s="240"/>
      <c r="G54" s="240"/>
      <c r="H54" s="240"/>
      <c r="I54" s="240"/>
      <c r="J54" s="173">
        <v>6500.27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</row>
    <row r="55" spans="2:43" ht="11.25" customHeight="1">
      <c r="B55" s="171" t="s">
        <v>195</v>
      </c>
      <c r="C55" s="240" t="s">
        <v>255</v>
      </c>
      <c r="D55" s="240"/>
      <c r="E55" s="240"/>
      <c r="F55" s="240"/>
      <c r="G55" s="240"/>
      <c r="H55" s="240"/>
      <c r="I55" s="240"/>
      <c r="J55" s="173">
        <v>6500.27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</row>
    <row r="56" spans="2:43" ht="11.25" customHeight="1">
      <c r="B56" s="171" t="s">
        <v>225</v>
      </c>
      <c r="C56" s="240" t="s">
        <v>255</v>
      </c>
      <c r="D56" s="240"/>
      <c r="E56" s="240"/>
      <c r="F56" s="240"/>
      <c r="G56" s="240"/>
      <c r="H56" s="240"/>
      <c r="I56" s="240"/>
      <c r="J56" s="173">
        <v>6500.27</v>
      </c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</row>
    <row r="57" spans="2:43" ht="11.25" customHeight="1">
      <c r="B57" s="171" t="s">
        <v>258</v>
      </c>
      <c r="C57" s="240" t="s">
        <v>259</v>
      </c>
      <c r="D57" s="240"/>
      <c r="E57" s="240"/>
      <c r="F57" s="240"/>
      <c r="G57" s="240"/>
      <c r="H57" s="240"/>
      <c r="I57" s="240"/>
      <c r="J57" s="173">
        <v>5280.12</v>
      </c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</row>
    <row r="58" spans="2:43" ht="11.25" customHeight="1">
      <c r="B58" s="171" t="s">
        <v>260</v>
      </c>
      <c r="C58" s="240" t="s">
        <v>261</v>
      </c>
      <c r="D58" s="240"/>
      <c r="E58" s="240"/>
      <c r="F58" s="240"/>
      <c r="G58" s="240"/>
      <c r="H58" s="240"/>
      <c r="I58" s="240"/>
      <c r="J58" s="173">
        <v>1702.36</v>
      </c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</row>
    <row r="59" spans="2:10" ht="9.75">
      <c r="B59" s="171" t="s">
        <v>191</v>
      </c>
      <c r="C59" s="240" t="s">
        <v>262</v>
      </c>
      <c r="D59" s="240"/>
      <c r="E59" s="240"/>
      <c r="F59" s="240"/>
      <c r="G59" s="240"/>
      <c r="H59" s="240"/>
      <c r="I59" s="240"/>
      <c r="J59" s="173">
        <v>2300.36</v>
      </c>
    </row>
    <row r="60" spans="2:10" ht="9.75">
      <c r="B60" s="171" t="s">
        <v>222</v>
      </c>
      <c r="C60" s="240" t="s">
        <v>263</v>
      </c>
      <c r="D60" s="240"/>
      <c r="E60" s="240"/>
      <c r="F60" s="240"/>
      <c r="G60" s="240"/>
      <c r="H60" s="240"/>
      <c r="I60" s="240"/>
      <c r="J60" s="173">
        <v>1910.18</v>
      </c>
    </row>
    <row r="61" spans="2:10" ht="9.75">
      <c r="B61" s="171" t="s">
        <v>257</v>
      </c>
      <c r="C61" s="240" t="s">
        <v>275</v>
      </c>
      <c r="D61" s="240"/>
      <c r="E61" s="240"/>
      <c r="F61" s="240"/>
      <c r="G61" s="240"/>
      <c r="H61" s="240"/>
      <c r="I61" s="240"/>
      <c r="J61" s="173">
        <v>2113.32</v>
      </c>
    </row>
    <row r="62" spans="2:10" ht="9.75">
      <c r="B62" s="171" t="s">
        <v>277</v>
      </c>
      <c r="C62" s="240" t="s">
        <v>278</v>
      </c>
      <c r="D62" s="240"/>
      <c r="E62" s="240"/>
      <c r="F62" s="240"/>
      <c r="G62" s="240"/>
      <c r="H62" s="240"/>
      <c r="I62" s="240"/>
      <c r="J62" s="173">
        <v>30657.34</v>
      </c>
    </row>
    <row r="63" spans="2:10" ht="9.75">
      <c r="B63" s="171" t="s">
        <v>279</v>
      </c>
      <c r="C63" s="240" t="s">
        <v>280</v>
      </c>
      <c r="D63" s="240"/>
      <c r="E63" s="240"/>
      <c r="F63" s="240"/>
      <c r="G63" s="240"/>
      <c r="H63" s="240"/>
      <c r="I63" s="240"/>
      <c r="J63" s="173">
        <v>41900.59</v>
      </c>
    </row>
    <row r="64" spans="2:10" ht="9.75">
      <c r="B64" s="171" t="s">
        <v>281</v>
      </c>
      <c r="C64" s="240" t="s">
        <v>282</v>
      </c>
      <c r="D64" s="240"/>
      <c r="E64" s="240"/>
      <c r="F64" s="240"/>
      <c r="G64" s="240"/>
      <c r="H64" s="240"/>
      <c r="I64" s="240"/>
      <c r="J64" s="173">
        <v>33923.38</v>
      </c>
    </row>
    <row r="65" spans="2:10" ht="9.75">
      <c r="B65" s="171" t="s">
        <v>256</v>
      </c>
      <c r="C65" s="240" t="s">
        <v>283</v>
      </c>
      <c r="D65" s="240"/>
      <c r="E65" s="240"/>
      <c r="F65" s="240"/>
      <c r="G65" s="240"/>
      <c r="H65" s="240"/>
      <c r="I65" s="240"/>
      <c r="J65" s="173">
        <v>78369.34</v>
      </c>
    </row>
    <row r="66" spans="2:10" ht="9.75">
      <c r="B66" s="46" t="s">
        <v>284</v>
      </c>
      <c r="C66" s="240" t="s">
        <v>259</v>
      </c>
      <c r="D66" s="240"/>
      <c r="E66" s="240"/>
      <c r="F66" s="240"/>
      <c r="G66" s="240"/>
      <c r="H66" s="240"/>
      <c r="I66" s="240"/>
      <c r="J66" s="156">
        <v>4110.06</v>
      </c>
    </row>
    <row r="67" spans="2:10" ht="9.75">
      <c r="B67" s="187" t="s">
        <v>289</v>
      </c>
      <c r="C67" s="239" t="s">
        <v>290</v>
      </c>
      <c r="D67" s="239"/>
      <c r="E67" s="239"/>
      <c r="F67" s="239"/>
      <c r="G67" s="239"/>
      <c r="H67" s="239"/>
      <c r="I67" s="239"/>
      <c r="J67" s="175">
        <v>25782.84</v>
      </c>
    </row>
    <row r="68" spans="2:10" ht="9.75">
      <c r="B68" s="187" t="s">
        <v>243</v>
      </c>
      <c r="C68" s="239" t="s">
        <v>292</v>
      </c>
      <c r="D68" s="239"/>
      <c r="E68" s="239"/>
      <c r="F68" s="239"/>
      <c r="G68" s="239"/>
      <c r="H68" s="239"/>
      <c r="I68" s="239"/>
      <c r="J68" s="175">
        <v>70632.11</v>
      </c>
    </row>
    <row r="69" spans="2:10" ht="9.75">
      <c r="B69" s="187" t="s">
        <v>257</v>
      </c>
      <c r="C69" s="239" t="s">
        <v>304</v>
      </c>
      <c r="D69" s="239"/>
      <c r="E69" s="239"/>
      <c r="F69" s="239"/>
      <c r="G69" s="239"/>
      <c r="H69" s="239"/>
      <c r="I69" s="239"/>
      <c r="J69" s="175">
        <v>101815.5</v>
      </c>
    </row>
    <row r="70" spans="2:10" ht="9.75">
      <c r="B70" s="46" t="s">
        <v>306</v>
      </c>
      <c r="C70" s="264" t="s">
        <v>307</v>
      </c>
      <c r="D70" s="264"/>
      <c r="E70" s="264"/>
      <c r="F70" s="264"/>
      <c r="G70" s="264"/>
      <c r="H70" s="264"/>
      <c r="I70" s="264"/>
      <c r="J70" s="156">
        <v>43425.33</v>
      </c>
    </row>
    <row r="71" spans="2:10" ht="9.75">
      <c r="B71" s="46" t="s">
        <v>222</v>
      </c>
      <c r="C71" s="264" t="s">
        <v>308</v>
      </c>
      <c r="D71" s="264"/>
      <c r="E71" s="264"/>
      <c r="F71" s="264"/>
      <c r="G71" s="264"/>
      <c r="H71" s="264"/>
      <c r="I71" s="264"/>
      <c r="J71" s="156">
        <v>72800.85</v>
      </c>
    </row>
    <row r="72" spans="2:10" ht="9.75">
      <c r="B72" s="46" t="s">
        <v>225</v>
      </c>
      <c r="C72" s="264" t="s">
        <v>319</v>
      </c>
      <c r="D72" s="264"/>
      <c r="E72" s="264"/>
      <c r="F72" s="264"/>
      <c r="G72" s="264"/>
      <c r="H72" s="264"/>
      <c r="I72" s="264"/>
      <c r="J72" s="156">
        <v>124181.54</v>
      </c>
    </row>
    <row r="73" spans="2:10" ht="9.75">
      <c r="B73" s="46" t="s">
        <v>345</v>
      </c>
      <c r="C73" s="264" t="s">
        <v>346</v>
      </c>
      <c r="D73" s="264"/>
      <c r="E73" s="264"/>
      <c r="F73" s="264"/>
      <c r="G73" s="264"/>
      <c r="H73" s="264"/>
      <c r="I73" s="264"/>
      <c r="J73" s="156">
        <v>1924.68</v>
      </c>
    </row>
    <row r="74" spans="2:10" ht="9.75">
      <c r="B74" s="46" t="s">
        <v>347</v>
      </c>
      <c r="C74" s="264" t="s">
        <v>333</v>
      </c>
      <c r="D74" s="264"/>
      <c r="E74" s="264"/>
      <c r="F74" s="264"/>
      <c r="G74" s="264"/>
      <c r="H74" s="264"/>
      <c r="I74" s="264"/>
      <c r="J74" s="156">
        <v>1150.23</v>
      </c>
    </row>
    <row r="75" spans="2:10" ht="9.75">
      <c r="B75" s="46" t="s">
        <v>348</v>
      </c>
      <c r="C75" s="264" t="s">
        <v>321</v>
      </c>
      <c r="D75" s="264"/>
      <c r="E75" s="264"/>
      <c r="F75" s="264"/>
      <c r="G75" s="264"/>
      <c r="H75" s="264"/>
      <c r="I75" s="264"/>
      <c r="J75" s="156">
        <v>919.32</v>
      </c>
    </row>
    <row r="76" spans="2:10" ht="9.75">
      <c r="B76" s="46" t="s">
        <v>349</v>
      </c>
      <c r="C76" s="264" t="s">
        <v>350</v>
      </c>
      <c r="D76" s="264"/>
      <c r="E76" s="264"/>
      <c r="F76" s="264"/>
      <c r="G76" s="264"/>
      <c r="H76" s="264"/>
      <c r="I76" s="264"/>
      <c r="J76" s="156">
        <v>1408.6</v>
      </c>
    </row>
    <row r="77" spans="2:10" ht="9.75">
      <c r="B77" s="46" t="s">
        <v>352</v>
      </c>
      <c r="C77" s="264" t="s">
        <v>353</v>
      </c>
      <c r="D77" s="264"/>
      <c r="E77" s="264"/>
      <c r="F77" s="264"/>
      <c r="G77" s="264"/>
      <c r="H77" s="264"/>
      <c r="I77" s="264"/>
      <c r="J77" s="156">
        <v>1599.96</v>
      </c>
    </row>
    <row r="78" spans="2:10" ht="9.75">
      <c r="B78" s="46" t="s">
        <v>354</v>
      </c>
      <c r="C78" s="264" t="s">
        <v>355</v>
      </c>
      <c r="D78" s="264"/>
      <c r="E78" s="264"/>
      <c r="F78" s="264"/>
      <c r="G78" s="264"/>
      <c r="H78" s="264"/>
      <c r="I78" s="264"/>
      <c r="J78" s="156">
        <v>1117.23</v>
      </c>
    </row>
    <row r="79" spans="2:10" ht="9.75">
      <c r="B79" s="46" t="s">
        <v>357</v>
      </c>
      <c r="C79" s="264" t="s">
        <v>323</v>
      </c>
      <c r="D79" s="264"/>
      <c r="E79" s="264"/>
      <c r="F79" s="264"/>
      <c r="G79" s="264"/>
      <c r="H79" s="264"/>
      <c r="I79" s="264"/>
      <c r="J79" s="156">
        <v>706.49</v>
      </c>
    </row>
    <row r="80" spans="2:10" ht="9.75">
      <c r="B80" s="46" t="s">
        <v>358</v>
      </c>
      <c r="C80" s="264" t="s">
        <v>323</v>
      </c>
      <c r="D80" s="264"/>
      <c r="E80" s="264"/>
      <c r="F80" s="264"/>
      <c r="G80" s="264"/>
      <c r="H80" s="264"/>
      <c r="I80" s="264"/>
      <c r="J80" s="156">
        <v>706.49</v>
      </c>
    </row>
    <row r="81" spans="2:10" ht="9.75">
      <c r="B81" s="46" t="s">
        <v>359</v>
      </c>
      <c r="C81" s="264" t="s">
        <v>360</v>
      </c>
      <c r="D81" s="264"/>
      <c r="E81" s="264"/>
      <c r="F81" s="264"/>
      <c r="G81" s="264"/>
      <c r="H81" s="264"/>
      <c r="I81" s="264"/>
      <c r="J81" s="48">
        <v>862.23</v>
      </c>
    </row>
    <row r="82" spans="2:10" ht="9.75">
      <c r="B82" s="46" t="s">
        <v>361</v>
      </c>
      <c r="C82" s="264" t="s">
        <v>323</v>
      </c>
      <c r="D82" s="264"/>
      <c r="E82" s="264"/>
      <c r="F82" s="264"/>
      <c r="G82" s="264"/>
      <c r="H82" s="264"/>
      <c r="I82" s="264"/>
      <c r="J82" s="48">
        <v>706.49</v>
      </c>
    </row>
    <row r="83" spans="2:10" ht="9.75">
      <c r="B83" s="46" t="s">
        <v>362</v>
      </c>
      <c r="C83" s="264" t="s">
        <v>323</v>
      </c>
      <c r="D83" s="264"/>
      <c r="E83" s="264"/>
      <c r="F83" s="264"/>
      <c r="G83" s="264"/>
      <c r="H83" s="264"/>
      <c r="I83" s="264"/>
      <c r="J83" s="48">
        <v>706.49</v>
      </c>
    </row>
    <row r="84" spans="2:10" ht="9.75">
      <c r="B84" s="46" t="s">
        <v>363</v>
      </c>
      <c r="C84" s="264" t="s">
        <v>323</v>
      </c>
      <c r="D84" s="264"/>
      <c r="E84" s="264"/>
      <c r="F84" s="264"/>
      <c r="G84" s="264"/>
      <c r="H84" s="264"/>
      <c r="I84" s="264"/>
      <c r="J84" s="48">
        <v>706.49</v>
      </c>
    </row>
    <row r="85" spans="2:10" ht="9.75">
      <c r="B85" s="46" t="s">
        <v>364</v>
      </c>
      <c r="C85" s="264" t="s">
        <v>323</v>
      </c>
      <c r="D85" s="264"/>
      <c r="E85" s="264"/>
      <c r="F85" s="264"/>
      <c r="G85" s="264"/>
      <c r="H85" s="264"/>
      <c r="I85" s="264"/>
      <c r="J85" s="48">
        <v>706.49</v>
      </c>
    </row>
    <row r="86" spans="2:10" ht="9.75">
      <c r="B86" s="46" t="s">
        <v>365</v>
      </c>
      <c r="C86" s="264" t="s">
        <v>323</v>
      </c>
      <c r="D86" s="264"/>
      <c r="E86" s="264"/>
      <c r="F86" s="264"/>
      <c r="G86" s="264"/>
      <c r="H86" s="264"/>
      <c r="I86" s="264"/>
      <c r="J86" s="48">
        <v>706.49</v>
      </c>
    </row>
    <row r="87" spans="2:10" ht="9.75">
      <c r="B87" s="46" t="s">
        <v>366</v>
      </c>
      <c r="C87" s="264" t="s">
        <v>323</v>
      </c>
      <c r="D87" s="264"/>
      <c r="E87" s="264"/>
      <c r="F87" s="264"/>
      <c r="G87" s="264"/>
      <c r="H87" s="264"/>
      <c r="I87" s="264"/>
      <c r="J87" s="48">
        <v>706.49</v>
      </c>
    </row>
    <row r="88" spans="2:10" ht="9.75">
      <c r="B88" s="46" t="s">
        <v>367</v>
      </c>
      <c r="C88" s="264" t="s">
        <v>323</v>
      </c>
      <c r="D88" s="264"/>
      <c r="E88" s="264"/>
      <c r="F88" s="264"/>
      <c r="G88" s="264"/>
      <c r="H88" s="264"/>
      <c r="I88" s="264"/>
      <c r="J88" s="48">
        <v>706.49</v>
      </c>
    </row>
    <row r="89" spans="2:10" ht="9.75">
      <c r="B89" s="46" t="s">
        <v>356</v>
      </c>
      <c r="C89" s="264" t="s">
        <v>323</v>
      </c>
      <c r="D89" s="264"/>
      <c r="E89" s="264"/>
      <c r="F89" s="264"/>
      <c r="G89" s="264"/>
      <c r="H89" s="264"/>
      <c r="I89" s="264"/>
      <c r="J89" s="48">
        <v>706.49</v>
      </c>
    </row>
    <row r="90" spans="2:10" ht="9.75">
      <c r="B90" s="46" t="s">
        <v>351</v>
      </c>
      <c r="C90" s="264" t="s">
        <v>323</v>
      </c>
      <c r="D90" s="264"/>
      <c r="E90" s="264"/>
      <c r="F90" s="264"/>
      <c r="G90" s="264"/>
      <c r="H90" s="264"/>
      <c r="I90" s="264"/>
      <c r="J90" s="48">
        <v>706.49</v>
      </c>
    </row>
    <row r="91" spans="2:10" ht="9.75">
      <c r="B91" s="46" t="s">
        <v>368</v>
      </c>
      <c r="C91" s="264" t="s">
        <v>369</v>
      </c>
      <c r="D91" s="264"/>
      <c r="E91" s="264"/>
      <c r="F91" s="264"/>
      <c r="G91" s="264"/>
      <c r="H91" s="264"/>
      <c r="I91" s="264"/>
      <c r="J91" s="225">
        <v>1366.47</v>
      </c>
    </row>
  </sheetData>
  <sheetProtection/>
  <autoFilter ref="A1:I5"/>
  <mergeCells count="63">
    <mergeCell ref="C65:I65"/>
    <mergeCell ref="C66:I66"/>
    <mergeCell ref="C57:I57"/>
    <mergeCell ref="C58:I58"/>
    <mergeCell ref="C59:I59"/>
    <mergeCell ref="C60:I60"/>
    <mergeCell ref="C61:I61"/>
    <mergeCell ref="C62:I62"/>
    <mergeCell ref="C53:I53"/>
    <mergeCell ref="C54:I54"/>
    <mergeCell ref="C55:I55"/>
    <mergeCell ref="C56:I56"/>
    <mergeCell ref="C63:I63"/>
    <mergeCell ref="C64:I64"/>
    <mergeCell ref="C47:I47"/>
    <mergeCell ref="C48:I48"/>
    <mergeCell ref="C49:I49"/>
    <mergeCell ref="C50:I50"/>
    <mergeCell ref="C51:I51"/>
    <mergeCell ref="C52:I52"/>
    <mergeCell ref="C43:I43"/>
    <mergeCell ref="C44:I44"/>
    <mergeCell ref="C41:I41"/>
    <mergeCell ref="C42:I42"/>
    <mergeCell ref="C45:I45"/>
    <mergeCell ref="C46:I46"/>
    <mergeCell ref="C40:I40"/>
    <mergeCell ref="A2:AQ2"/>
    <mergeCell ref="AD5:AP5"/>
    <mergeCell ref="Q5:AC5"/>
    <mergeCell ref="A4:I4"/>
    <mergeCell ref="D5:P5"/>
    <mergeCell ref="C34:I34"/>
    <mergeCell ref="C78:I78"/>
    <mergeCell ref="C35:I35"/>
    <mergeCell ref="C36:I36"/>
    <mergeCell ref="C67:I67"/>
    <mergeCell ref="C68:I68"/>
    <mergeCell ref="C69:I69"/>
    <mergeCell ref="C70:I70"/>
    <mergeCell ref="C37:I37"/>
    <mergeCell ref="C38:I38"/>
    <mergeCell ref="C39:I39"/>
    <mergeCell ref="C86:I86"/>
    <mergeCell ref="C71:I71"/>
    <mergeCell ref="C72:I72"/>
    <mergeCell ref="C79:I79"/>
    <mergeCell ref="C80:I80"/>
    <mergeCell ref="C73:I73"/>
    <mergeCell ref="C74:I74"/>
    <mergeCell ref="C75:I75"/>
    <mergeCell ref="C76:I76"/>
    <mergeCell ref="C77:I77"/>
    <mergeCell ref="C87:I87"/>
    <mergeCell ref="C88:I88"/>
    <mergeCell ref="C89:I89"/>
    <mergeCell ref="C90:I90"/>
    <mergeCell ref="C91:I91"/>
    <mergeCell ref="C81:I81"/>
    <mergeCell ref="C82:I82"/>
    <mergeCell ref="C83:I83"/>
    <mergeCell ref="C84:I84"/>
    <mergeCell ref="C85:I8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U20"/>
  <sheetViews>
    <sheetView tabSelected="1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9" sqref="O9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57421875" style="26" bestFit="1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bestFit="1" customWidth="1"/>
    <col min="30" max="41" width="9.28125" style="0" customWidth="1"/>
    <col min="42" max="42" width="10.00390625" style="0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 thickBot="1">
      <c r="A6" s="52"/>
      <c r="B6" s="16" t="s">
        <v>176</v>
      </c>
      <c r="C6" s="49"/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2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85"/>
    </row>
    <row r="7" spans="1:43" ht="12" customHeight="1">
      <c r="A7" s="24">
        <v>1</v>
      </c>
      <c r="B7" s="7" t="s">
        <v>172</v>
      </c>
      <c r="C7" s="148">
        <v>3408</v>
      </c>
      <c r="D7" s="125"/>
      <c r="E7" s="125">
        <f>8642.71</f>
        <v>8642.71</v>
      </c>
      <c r="F7" s="125"/>
      <c r="G7" s="125"/>
      <c r="H7" s="125"/>
      <c r="I7" s="125"/>
      <c r="J7" s="125"/>
      <c r="K7" s="125"/>
      <c r="L7" s="125"/>
      <c r="M7" s="125"/>
      <c r="N7" s="125"/>
      <c r="O7" s="125">
        <v>12480</v>
      </c>
      <c r="P7" s="194">
        <f>SUM(D7:O7)</f>
        <v>21122.71</v>
      </c>
      <c r="Q7" s="127">
        <f>C7*593690.15/479520.23</f>
        <v>4219.417460656457</v>
      </c>
      <c r="R7" s="125">
        <f>C7*593686.15/479517.01</f>
        <v>4219.417365819828</v>
      </c>
      <c r="S7" s="125">
        <f>C7*579500.06/479514.61</f>
        <v>4118.615289907434</v>
      </c>
      <c r="T7" s="125">
        <f>C7*593938.3/479720.67</f>
        <v>4219.417367194122</v>
      </c>
      <c r="U7" s="125">
        <f>C7*576132.29/479725.57</f>
        <v>4092.879277458569</v>
      </c>
      <c r="V7" s="125">
        <f>C7*593946.23/479729.4</f>
        <v>4219.39691801253</v>
      </c>
      <c r="W7" s="125">
        <f>C7*594015.27/479782.82</f>
        <v>4219.417527622186</v>
      </c>
      <c r="X7" s="125">
        <f>C7*594005.55/479774.98</f>
        <v>4219.417432730653</v>
      </c>
      <c r="Y7" s="125">
        <f>C7*585421.9/479766.08</f>
        <v>4158.522076425244</v>
      </c>
      <c r="Z7" s="125">
        <f>C7*572643.93/479776.28</f>
        <v>4067.667775155537</v>
      </c>
      <c r="AA7" s="125">
        <f>C7*588687.52/475479.64</f>
        <v>4219.417403782</v>
      </c>
      <c r="AB7" s="125">
        <f>C7*577403.59/475489.94</f>
        <v>4138.450194592971</v>
      </c>
      <c r="AC7" s="195">
        <f>SUM(Q7:AB7)</f>
        <v>50112.036089357534</v>
      </c>
      <c r="AD7" s="127"/>
      <c r="AE7" s="125">
        <f>9128.47</f>
        <v>9128.47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9128.47</v>
      </c>
      <c r="AQ7" s="197">
        <f>P7+AC7+AP7</f>
        <v>80363.21608935753</v>
      </c>
    </row>
    <row r="8" spans="1:43" ht="12" customHeight="1">
      <c r="A8" s="8">
        <v>2</v>
      </c>
      <c r="B8" s="9" t="s">
        <v>173</v>
      </c>
      <c r="C8" s="123">
        <v>3435.6</v>
      </c>
      <c r="D8" s="125"/>
      <c r="E8" s="125"/>
      <c r="F8" s="125">
        <f>7818.75</f>
        <v>7818.75</v>
      </c>
      <c r="G8" s="125"/>
      <c r="H8" s="125"/>
      <c r="I8" s="125"/>
      <c r="J8" s="125"/>
      <c r="K8" s="125"/>
      <c r="L8" s="125"/>
      <c r="M8" s="125"/>
      <c r="N8" s="125"/>
      <c r="O8" s="125">
        <v>12480</v>
      </c>
      <c r="P8" s="194">
        <f>SUM(D8:O8)</f>
        <v>20298.75</v>
      </c>
      <c r="Q8" s="127">
        <f>C8*593690.15/479520.23</f>
        <v>4253.58879924628</v>
      </c>
      <c r="R8" s="125">
        <f>C8*593686.15/479517.01</f>
        <v>4253.588703641608</v>
      </c>
      <c r="S8" s="125">
        <f>C8*579500.06/479514.61</f>
        <v>4151.970272889079</v>
      </c>
      <c r="T8" s="125">
        <f>C8*593938.3/479720.67</f>
        <v>4253.588705027032</v>
      </c>
      <c r="U8" s="125">
        <f>C8*576132.29/479725.57</f>
        <v>4126.025834987283</v>
      </c>
      <c r="V8" s="125">
        <f>C8*593946.23/479729.4</f>
        <v>4253.56809023587</v>
      </c>
      <c r="W8" s="125">
        <f>C8*594015.27/479782.82</f>
        <v>4253.588866754337</v>
      </c>
      <c r="X8" s="125">
        <f>C8*594005.55/479774.98</f>
        <v>4253.588771094316</v>
      </c>
      <c r="Y8" s="125">
        <f>C8*585421.9/479766.08</f>
        <v>4192.200248170942</v>
      </c>
      <c r="Z8" s="125">
        <f>C8*572643.93/479776.28</f>
        <v>4100.610155024755</v>
      </c>
      <c r="AA8" s="125">
        <f>C8*588687.52/475479.64</f>
        <v>4253.5887419112205</v>
      </c>
      <c r="AB8" s="125">
        <f>C8*577403.59/475489.94</f>
        <v>4171.965812366083</v>
      </c>
      <c r="AC8" s="195">
        <f>SUM(Q8:AB8)</f>
        <v>50517.8730013488</v>
      </c>
      <c r="AD8" s="127"/>
      <c r="AE8" s="125">
        <f>7302.77</f>
        <v>7302.77</v>
      </c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>SUM(AD8:AO8)</f>
        <v>7302.77</v>
      </c>
      <c r="AQ8" s="197">
        <f>P8+AC8+AP8</f>
        <v>78119.39300134881</v>
      </c>
    </row>
    <row r="9" spans="1:43" ht="12" customHeight="1" thickBot="1">
      <c r="A9" s="11">
        <v>2</v>
      </c>
      <c r="B9" s="12" t="s">
        <v>21</v>
      </c>
      <c r="C9" s="133">
        <f aca="true" t="shared" si="0" ref="C9:AQ9">SUM(C7:C8)</f>
        <v>6843.6</v>
      </c>
      <c r="D9" s="126">
        <f t="shared" si="0"/>
        <v>0</v>
      </c>
      <c r="E9" s="126">
        <f t="shared" si="0"/>
        <v>8642.71</v>
      </c>
      <c r="F9" s="126">
        <f t="shared" si="0"/>
        <v>7818.75</v>
      </c>
      <c r="G9" s="126">
        <f t="shared" si="0"/>
        <v>0</v>
      </c>
      <c r="H9" s="126">
        <f t="shared" si="0"/>
        <v>0</v>
      </c>
      <c r="I9" s="126">
        <f t="shared" si="0"/>
        <v>0</v>
      </c>
      <c r="J9" s="126">
        <f t="shared" si="0"/>
        <v>0</v>
      </c>
      <c r="K9" s="126">
        <f t="shared" si="0"/>
        <v>0</v>
      </c>
      <c r="L9" s="126">
        <f t="shared" si="0"/>
        <v>0</v>
      </c>
      <c r="M9" s="126">
        <f t="shared" si="0"/>
        <v>0</v>
      </c>
      <c r="N9" s="126">
        <f t="shared" si="0"/>
        <v>0</v>
      </c>
      <c r="O9" s="126">
        <f t="shared" si="0"/>
        <v>24960</v>
      </c>
      <c r="P9" s="199">
        <f t="shared" si="0"/>
        <v>41421.46</v>
      </c>
      <c r="Q9" s="128">
        <f t="shared" si="0"/>
        <v>8473.006259902737</v>
      </c>
      <c r="R9" s="161">
        <f t="shared" si="0"/>
        <v>8473.006069461437</v>
      </c>
      <c r="S9" s="161">
        <f t="shared" si="0"/>
        <v>8270.585562796514</v>
      </c>
      <c r="T9" s="161">
        <f t="shared" si="0"/>
        <v>8473.006072221153</v>
      </c>
      <c r="U9" s="161">
        <f t="shared" si="0"/>
        <v>8218.905112445853</v>
      </c>
      <c r="V9" s="161">
        <f t="shared" si="0"/>
        <v>8472.9650082484</v>
      </c>
      <c r="W9" s="161">
        <f t="shared" si="0"/>
        <v>8473.006394376524</v>
      </c>
      <c r="X9" s="161">
        <f t="shared" si="0"/>
        <v>8473.006203824969</v>
      </c>
      <c r="Y9" s="161">
        <f t="shared" si="0"/>
        <v>8350.722324596187</v>
      </c>
      <c r="Z9" s="161">
        <f t="shared" si="0"/>
        <v>8168.277930180292</v>
      </c>
      <c r="AA9" s="161">
        <f t="shared" si="0"/>
        <v>8473.00614569322</v>
      </c>
      <c r="AB9" s="161">
        <f t="shared" si="0"/>
        <v>8310.416006959054</v>
      </c>
      <c r="AC9" s="196">
        <f t="shared" si="0"/>
        <v>100629.90909070634</v>
      </c>
      <c r="AD9" s="128">
        <f t="shared" si="0"/>
        <v>0</v>
      </c>
      <c r="AE9" s="161">
        <f t="shared" si="0"/>
        <v>16431.239999999998</v>
      </c>
      <c r="AF9" s="161">
        <f t="shared" si="0"/>
        <v>0</v>
      </c>
      <c r="AG9" s="161">
        <f t="shared" si="0"/>
        <v>0</v>
      </c>
      <c r="AH9" s="161">
        <f t="shared" si="0"/>
        <v>0</v>
      </c>
      <c r="AI9" s="161">
        <f t="shared" si="0"/>
        <v>0</v>
      </c>
      <c r="AJ9" s="161">
        <f t="shared" si="0"/>
        <v>0</v>
      </c>
      <c r="AK9" s="161">
        <f t="shared" si="0"/>
        <v>0</v>
      </c>
      <c r="AL9" s="161">
        <f t="shared" si="0"/>
        <v>0</v>
      </c>
      <c r="AM9" s="161">
        <f t="shared" si="0"/>
        <v>0</v>
      </c>
      <c r="AN9" s="161">
        <f t="shared" si="0"/>
        <v>0</v>
      </c>
      <c r="AO9" s="161">
        <f>SUM(AO7:AO8)</f>
        <v>0</v>
      </c>
      <c r="AP9" s="196">
        <f t="shared" si="0"/>
        <v>16431.239999999998</v>
      </c>
      <c r="AQ9" s="200">
        <f t="shared" si="0"/>
        <v>158482.60909070633</v>
      </c>
    </row>
    <row r="11" ht="12.75">
      <c r="B11" s="47"/>
    </row>
    <row r="12" spans="2:45" ht="12.75" customHeight="1">
      <c r="B12" s="117" t="s">
        <v>172</v>
      </c>
      <c r="C12" s="250" t="s">
        <v>199</v>
      </c>
      <c r="D12" s="250"/>
      <c r="E12" s="250"/>
      <c r="F12" s="250"/>
      <c r="G12" s="250"/>
      <c r="H12" s="250"/>
      <c r="I12" s="250"/>
      <c r="J12" s="228">
        <v>8642.71</v>
      </c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</row>
    <row r="13" spans="2:45" ht="12.75" customHeight="1">
      <c r="B13" s="117" t="s">
        <v>173</v>
      </c>
      <c r="C13" s="250" t="s">
        <v>211</v>
      </c>
      <c r="D13" s="250"/>
      <c r="E13" s="250"/>
      <c r="F13" s="250"/>
      <c r="G13" s="250"/>
      <c r="H13" s="250"/>
      <c r="I13" s="250"/>
      <c r="J13" s="228">
        <v>7818.75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</row>
    <row r="14" spans="2:47" ht="12.75" customHeight="1">
      <c r="B14" s="118"/>
      <c r="C14" s="262"/>
      <c r="D14" s="262"/>
      <c r="E14" s="262"/>
      <c r="F14" s="262"/>
      <c r="G14" s="262"/>
      <c r="H14" s="262"/>
      <c r="I14" s="262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</row>
    <row r="15" ht="12.75">
      <c r="B15" s="47"/>
    </row>
    <row r="16" ht="12.75">
      <c r="B16" s="47"/>
    </row>
    <row r="17" ht="12.75">
      <c r="B17" s="47"/>
    </row>
    <row r="18" ht="12.75">
      <c r="B18" s="47"/>
    </row>
    <row r="19" ht="12.75">
      <c r="B19" s="47"/>
    </row>
    <row r="20" ht="12.75">
      <c r="B20" s="47"/>
    </row>
  </sheetData>
  <sheetProtection/>
  <mergeCells count="8">
    <mergeCell ref="C14:I14"/>
    <mergeCell ref="C12:I12"/>
    <mergeCell ref="A2:AQ2"/>
    <mergeCell ref="A4:I4"/>
    <mergeCell ref="D5:P5"/>
    <mergeCell ref="Q5:AC5"/>
    <mergeCell ref="AD5:AP5"/>
    <mergeCell ref="C13:I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T22"/>
  <sheetViews>
    <sheetView zoomScalePageLayoutView="0" workbookViewId="0" topLeftCell="A1">
      <pane xSplit="3" ySplit="2" topLeftCell="A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9" sqref="O9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57421875" style="26" bestFit="1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bestFit="1" customWidth="1"/>
    <col min="30" max="41" width="9.28125" style="0" customWidth="1"/>
    <col min="42" max="42" width="10.00390625" style="0" bestFit="1" customWidth="1"/>
    <col min="43" max="43" width="11.140625" style="0" bestFit="1" customWidth="1"/>
    <col min="46" max="46" width="15.421875" style="0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28" t="s">
        <v>0</v>
      </c>
      <c r="B5" s="28" t="s">
        <v>1</v>
      </c>
      <c r="C5" s="28" t="s">
        <v>2</v>
      </c>
      <c r="D5" s="269" t="s">
        <v>38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  <c r="Q5" s="269" t="s">
        <v>39</v>
      </c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44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 thickBot="1">
      <c r="A6" s="52"/>
      <c r="B6" s="16" t="s">
        <v>174</v>
      </c>
      <c r="C6" s="95"/>
      <c r="D6" s="94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2" t="s">
        <v>54</v>
      </c>
      <c r="Q6" s="105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0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85"/>
    </row>
    <row r="7" spans="1:43" ht="12" customHeight="1">
      <c r="A7" s="100">
        <v>1</v>
      </c>
      <c r="B7" s="110" t="s">
        <v>178</v>
      </c>
      <c r="C7" s="140">
        <v>4768.6</v>
      </c>
      <c r="D7" s="127">
        <f>2309.99</f>
        <v>2309.99</v>
      </c>
      <c r="E7" s="125"/>
      <c r="F7" s="125"/>
      <c r="G7" s="125">
        <v>1929.46</v>
      </c>
      <c r="H7" s="125"/>
      <c r="I7" s="125">
        <v>1864.99</v>
      </c>
      <c r="J7" s="125"/>
      <c r="K7" s="125"/>
      <c r="L7" s="125"/>
      <c r="M7" s="125"/>
      <c r="N7" s="125"/>
      <c r="O7" s="125">
        <v>5124.68</v>
      </c>
      <c r="P7" s="195">
        <f>SUM(D7:O7)</f>
        <v>11229.119999999999</v>
      </c>
      <c r="Q7" s="127">
        <f>C7*593690.15/479520.23</f>
        <v>5903.965405776521</v>
      </c>
      <c r="R7" s="125">
        <f>C7*593686.15/479517.01</f>
        <v>5903.9652730775915</v>
      </c>
      <c r="S7" s="125">
        <f>C7*579500.06/479514.61</f>
        <v>5762.919269792427</v>
      </c>
      <c r="T7" s="125">
        <f>C7*593938.3/479720.67</f>
        <v>5903.965275000555</v>
      </c>
      <c r="U7" s="125">
        <f>C7*576132.29/479725.57</f>
        <v>5726.908486645813</v>
      </c>
      <c r="V7" s="125">
        <f>C7*593946.23/479729.4</f>
        <v>5903.936661747227</v>
      </c>
      <c r="W7" s="125">
        <f>C7*594015.27/479782.82</f>
        <v>5903.965499477452</v>
      </c>
      <c r="X7" s="125">
        <f>C7*594005.55/479774.98</f>
        <v>5903.9653667017</v>
      </c>
      <c r="Y7" s="125">
        <f>C7*585421.9/479766.08</f>
        <v>5818.7583255990085</v>
      </c>
      <c r="Z7" s="125">
        <f>C7*572643.93/479776.28</f>
        <v>5691.631617548914</v>
      </c>
      <c r="AA7" s="125">
        <f>C7*588687.52/475479.64</f>
        <v>5903.965326195671</v>
      </c>
      <c r="AB7" s="125">
        <f>C7*577403.59/475489.94</f>
        <v>5790.673004089214</v>
      </c>
      <c r="AC7" s="194">
        <f>SUM(Q7:AB7)</f>
        <v>70118.6195116521</v>
      </c>
      <c r="AD7" s="127">
        <f>8215.64</f>
        <v>8215.64</v>
      </c>
      <c r="AE7" s="125"/>
      <c r="AF7" s="125"/>
      <c r="AG7" s="125">
        <v>8215.64</v>
      </c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16431.28</v>
      </c>
      <c r="AQ7" s="197">
        <f>P7+AC7+AP7</f>
        <v>97779.01951165209</v>
      </c>
    </row>
    <row r="8" spans="1:43" ht="12" customHeight="1">
      <c r="A8" s="100">
        <v>2</v>
      </c>
      <c r="B8" s="103" t="s">
        <v>175</v>
      </c>
      <c r="C8" s="140">
        <v>4278</v>
      </c>
      <c r="D8" s="12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>
        <v>6240</v>
      </c>
      <c r="P8" s="195">
        <f>SUM(D8:O8)</f>
        <v>6240</v>
      </c>
      <c r="Q8" s="127">
        <f>C8*593690.15/479520.23</f>
        <v>5296.55748142263</v>
      </c>
      <c r="R8" s="125">
        <f>C8*593686.15/479517.01</f>
        <v>5296.5573623759465</v>
      </c>
      <c r="S8" s="125">
        <f>C8*579500.06/479514.61</f>
        <v>5170.02236215493</v>
      </c>
      <c r="T8" s="125">
        <f>C8*593938.3/479720.67</f>
        <v>5296.557364101072</v>
      </c>
      <c r="U8" s="125">
        <f>C8*576132.29/479725.57</f>
        <v>5137.716416950633</v>
      </c>
      <c r="V8" s="125">
        <f>C8*593946.23/479729.4</f>
        <v>5296.531694617841</v>
      </c>
      <c r="W8" s="125">
        <f>C8*594015.27/479782.82</f>
        <v>5296.557565483483</v>
      </c>
      <c r="X8" s="125">
        <f>C8*594005.55/479774.98</f>
        <v>5296.557446367879</v>
      </c>
      <c r="Y8" s="125">
        <f>C8*585421.9/479766.08</f>
        <v>5220.116620583098</v>
      </c>
      <c r="Z8" s="125">
        <f>C8*572643.93/479776.28</f>
        <v>5106.068879728694</v>
      </c>
      <c r="AA8" s="125">
        <f>C8*588687.52/475479.64</f>
        <v>5296.557410029165</v>
      </c>
      <c r="AB8" s="125">
        <f>C8*577403.59/475489.94</f>
        <v>5194.920754832374</v>
      </c>
      <c r="AC8" s="194">
        <f>SUM(Q8:AB8)</f>
        <v>62904.72135864774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>SUM(AD8:AO8)</f>
        <v>0</v>
      </c>
      <c r="AQ8" s="197">
        <f>P8+AC8+AP8</f>
        <v>69144.72135864774</v>
      </c>
    </row>
    <row r="9" spans="1:43" ht="12" customHeight="1" thickBot="1">
      <c r="A9" s="101">
        <v>2</v>
      </c>
      <c r="B9" s="104" t="s">
        <v>21</v>
      </c>
      <c r="C9" s="141">
        <f aca="true" t="shared" si="0" ref="C9:AQ9">SUM(C7:C8)</f>
        <v>9046.6</v>
      </c>
      <c r="D9" s="128">
        <f t="shared" si="0"/>
        <v>2309.99</v>
      </c>
      <c r="E9" s="161">
        <f t="shared" si="0"/>
        <v>0</v>
      </c>
      <c r="F9" s="161">
        <f t="shared" si="0"/>
        <v>0</v>
      </c>
      <c r="G9" s="161">
        <f t="shared" si="0"/>
        <v>1929.46</v>
      </c>
      <c r="H9" s="161">
        <f t="shared" si="0"/>
        <v>0</v>
      </c>
      <c r="I9" s="161">
        <f t="shared" si="0"/>
        <v>1864.99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11364.68</v>
      </c>
      <c r="P9" s="196">
        <f t="shared" si="0"/>
        <v>17469.12</v>
      </c>
      <c r="Q9" s="152">
        <f t="shared" si="0"/>
        <v>11200.522887199151</v>
      </c>
      <c r="R9" s="161">
        <f t="shared" si="0"/>
        <v>11200.522635453537</v>
      </c>
      <c r="S9" s="161">
        <f t="shared" si="0"/>
        <v>10932.941631947357</v>
      </c>
      <c r="T9" s="161">
        <f t="shared" si="0"/>
        <v>11200.522639101628</v>
      </c>
      <c r="U9" s="161">
        <f t="shared" si="0"/>
        <v>10864.624903596447</v>
      </c>
      <c r="V9" s="161">
        <f t="shared" si="0"/>
        <v>11200.468356365069</v>
      </c>
      <c r="W9" s="161">
        <f t="shared" si="0"/>
        <v>11200.523064960935</v>
      </c>
      <c r="X9" s="161">
        <f t="shared" si="0"/>
        <v>11200.52281306958</v>
      </c>
      <c r="Y9" s="161">
        <f t="shared" si="0"/>
        <v>11038.874946182106</v>
      </c>
      <c r="Z9" s="161">
        <f t="shared" si="0"/>
        <v>10797.700497277609</v>
      </c>
      <c r="AA9" s="161">
        <f t="shared" si="0"/>
        <v>11200.522736224837</v>
      </c>
      <c r="AB9" s="161">
        <f t="shared" si="0"/>
        <v>10985.593758921588</v>
      </c>
      <c r="AC9" s="219">
        <f t="shared" si="0"/>
        <v>133023.34087029984</v>
      </c>
      <c r="AD9" s="128">
        <f t="shared" si="0"/>
        <v>8215.64</v>
      </c>
      <c r="AE9" s="161">
        <f t="shared" si="0"/>
        <v>0</v>
      </c>
      <c r="AF9" s="161">
        <f t="shared" si="0"/>
        <v>0</v>
      </c>
      <c r="AG9" s="161">
        <f t="shared" si="0"/>
        <v>8215.64</v>
      </c>
      <c r="AH9" s="161">
        <f t="shared" si="0"/>
        <v>0</v>
      </c>
      <c r="AI9" s="161">
        <f t="shared" si="0"/>
        <v>0</v>
      </c>
      <c r="AJ9" s="161">
        <f t="shared" si="0"/>
        <v>0</v>
      </c>
      <c r="AK9" s="161">
        <f t="shared" si="0"/>
        <v>0</v>
      </c>
      <c r="AL9" s="161">
        <f t="shared" si="0"/>
        <v>0</v>
      </c>
      <c r="AM9" s="161">
        <f t="shared" si="0"/>
        <v>0</v>
      </c>
      <c r="AN9" s="161">
        <f t="shared" si="0"/>
        <v>0</v>
      </c>
      <c r="AO9" s="161">
        <f t="shared" si="0"/>
        <v>0</v>
      </c>
      <c r="AP9" s="196">
        <f t="shared" si="0"/>
        <v>16431.28</v>
      </c>
      <c r="AQ9" s="200">
        <f t="shared" si="0"/>
        <v>166923.74087029984</v>
      </c>
    </row>
    <row r="11" s="76" customFormat="1" ht="12.75">
      <c r="A11" s="51"/>
    </row>
    <row r="12" spans="1:5" s="76" customFormat="1" ht="12.75">
      <c r="A12" s="51"/>
      <c r="B12" s="117"/>
      <c r="C12" s="115"/>
      <c r="D12" s="115"/>
      <c r="E12" s="115"/>
    </row>
    <row r="13" spans="1:46" ht="12.75">
      <c r="A13" s="51"/>
      <c r="B13" s="168" t="s">
        <v>189</v>
      </c>
      <c r="C13" s="240" t="s">
        <v>190</v>
      </c>
      <c r="D13" s="240"/>
      <c r="E13" s="240"/>
      <c r="F13" s="240"/>
      <c r="G13" s="240"/>
      <c r="H13" s="240"/>
      <c r="I13" s="240"/>
      <c r="J13" s="223">
        <v>2309.99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</row>
    <row r="14" spans="2:43" ht="12.75">
      <c r="B14" s="168" t="s">
        <v>189</v>
      </c>
      <c r="C14" s="240" t="s">
        <v>217</v>
      </c>
      <c r="D14" s="240"/>
      <c r="E14" s="240"/>
      <c r="F14" s="240"/>
      <c r="G14" s="240"/>
      <c r="H14" s="240"/>
      <c r="I14" s="240"/>
      <c r="J14" s="223">
        <v>1929.46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</row>
    <row r="15" spans="2:10" ht="12.75">
      <c r="B15" s="168" t="s">
        <v>189</v>
      </c>
      <c r="C15" s="264" t="s">
        <v>252</v>
      </c>
      <c r="D15" s="264"/>
      <c r="E15" s="264"/>
      <c r="F15" s="264"/>
      <c r="G15" s="264"/>
      <c r="H15" s="264"/>
      <c r="I15" s="264"/>
      <c r="J15" s="230">
        <v>1864.99</v>
      </c>
    </row>
    <row r="16" spans="2:10" ht="22.5" customHeight="1">
      <c r="B16" s="168" t="s">
        <v>189</v>
      </c>
      <c r="C16" s="267" t="s">
        <v>317</v>
      </c>
      <c r="D16" s="267"/>
      <c r="E16" s="267"/>
      <c r="F16" s="267"/>
      <c r="G16" s="267"/>
      <c r="H16" s="267"/>
      <c r="I16" s="267"/>
      <c r="J16" s="237">
        <v>5124.68</v>
      </c>
    </row>
    <row r="17" spans="2:10" ht="12.75">
      <c r="B17" s="47"/>
      <c r="C17" s="268"/>
      <c r="D17" s="268"/>
      <c r="E17" s="268"/>
      <c r="F17" s="268"/>
      <c r="G17" s="268"/>
      <c r="H17" s="268"/>
      <c r="I17" s="268"/>
      <c r="J17" s="224"/>
    </row>
    <row r="18" spans="2:10" ht="12.75">
      <c r="B18" s="47"/>
      <c r="C18" s="268"/>
      <c r="D18" s="268"/>
      <c r="E18" s="268"/>
      <c r="F18" s="268"/>
      <c r="G18" s="268"/>
      <c r="H18" s="268"/>
      <c r="I18" s="268"/>
      <c r="J18" s="224"/>
    </row>
    <row r="19" spans="2:10" ht="12.75">
      <c r="B19" s="47"/>
      <c r="C19" s="268"/>
      <c r="D19" s="268"/>
      <c r="E19" s="268"/>
      <c r="F19" s="268"/>
      <c r="G19" s="268"/>
      <c r="H19" s="268"/>
      <c r="I19" s="268"/>
      <c r="J19" s="224"/>
    </row>
    <row r="20" ht="12.75">
      <c r="J20" s="224"/>
    </row>
    <row r="21" ht="12.75">
      <c r="J21" s="224"/>
    </row>
    <row r="22" ht="12.75">
      <c r="J22" s="224"/>
    </row>
  </sheetData>
  <sheetProtection/>
  <mergeCells count="12">
    <mergeCell ref="C19:I19"/>
    <mergeCell ref="A2:AQ2"/>
    <mergeCell ref="A4:I4"/>
    <mergeCell ref="D5:P5"/>
    <mergeCell ref="Q5:AC5"/>
    <mergeCell ref="AD5:AP5"/>
    <mergeCell ref="C13:I13"/>
    <mergeCell ref="C14:I14"/>
    <mergeCell ref="C15:I15"/>
    <mergeCell ref="C16:I16"/>
    <mergeCell ref="C17:I17"/>
    <mergeCell ref="C18:I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V51"/>
  <sheetViews>
    <sheetView view="pageBreakPreview" zoomScaleSheetLayoutView="100" zoomScalePageLayoutView="0" workbookViewId="0" topLeftCell="A1">
      <pane xSplit="3" ySplit="2" topLeftCell="A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O21" sqref="D21:AO22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28125" style="26" customWidth="1"/>
    <col min="4" max="6" width="9.8515625" style="0" customWidth="1"/>
    <col min="7" max="7" width="9.140625" style="0" customWidth="1"/>
    <col min="8" max="9" width="9.57421875" style="0" customWidth="1"/>
    <col min="10" max="11" width="9.8515625" style="0" customWidth="1"/>
    <col min="12" max="12" width="9.7109375" style="0" customWidth="1"/>
    <col min="13" max="13" width="9.00390625" style="0" customWidth="1"/>
    <col min="14" max="14" width="9.421875" style="0" customWidth="1"/>
    <col min="15" max="15" width="9.140625" style="0" customWidth="1"/>
    <col min="16" max="16" width="9.8515625" style="0" bestFit="1" customWidth="1"/>
    <col min="17" max="17" width="12.57421875" style="0" customWidth="1"/>
    <col min="18" max="28" width="9.57421875" style="0" customWidth="1"/>
    <col min="29" max="29" width="11.140625" style="0" bestFit="1" customWidth="1"/>
    <col min="30" max="41" width="9.28125" style="0" customWidth="1"/>
    <col min="42" max="42" width="10.421875" style="0" customWidth="1"/>
    <col min="43" max="43" width="11.140625" style="0" customWidth="1"/>
    <col min="44" max="45" width="9.140625" style="0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111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4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 thickBot="1">
      <c r="A6" s="15"/>
      <c r="B6" s="16" t="s">
        <v>8</v>
      </c>
      <c r="C6" s="16"/>
      <c r="D6" s="113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2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86">
        <f>SUM(C6:AP6)</f>
        <v>0</v>
      </c>
    </row>
    <row r="7" spans="1:43" ht="12" customHeight="1">
      <c r="A7" s="21">
        <v>1</v>
      </c>
      <c r="B7" s="7" t="s">
        <v>9</v>
      </c>
      <c r="C7" s="148">
        <v>3886.9</v>
      </c>
      <c r="D7" s="153"/>
      <c r="E7" s="125"/>
      <c r="F7" s="125"/>
      <c r="G7" s="125"/>
      <c r="H7" s="125"/>
      <c r="I7" s="125"/>
      <c r="J7" s="125"/>
      <c r="K7" s="125"/>
      <c r="L7" s="125">
        <v>4747.89</v>
      </c>
      <c r="M7" s="125">
        <v>6008.17</v>
      </c>
      <c r="N7" s="125"/>
      <c r="O7" s="125"/>
      <c r="P7" s="194">
        <f>SUM(D7:O7)</f>
        <v>10756.060000000001</v>
      </c>
      <c r="Q7" s="127">
        <f aca="true" t="shared" si="0" ref="Q7:Q19">C7*593690.15/479520.23</f>
        <v>4812.339708869009</v>
      </c>
      <c r="R7" s="125">
        <f aca="true" t="shared" si="1" ref="R7:R19">C7*593686.15/479517.01</f>
        <v>4812.339600705718</v>
      </c>
      <c r="S7" s="125">
        <f aca="true" t="shared" si="2" ref="S7:S19">C7*579500.06/479514.61</f>
        <v>4697.372585194016</v>
      </c>
      <c r="T7" s="125">
        <f aca="true" t="shared" si="3" ref="T7:T19">C7*593938.3/479720.67</f>
        <v>4812.339602273132</v>
      </c>
      <c r="U7" s="125">
        <f aca="true" t="shared" si="4" ref="U7:U19">C7*576132.29/479725.57</f>
        <v>4668.020089070925</v>
      </c>
      <c r="V7" s="125">
        <f aca="true" t="shared" si="5" ref="V7:V19">C7*593946.23/479729.4</f>
        <v>4812.316279525499</v>
      </c>
      <c r="W7" s="125">
        <f aca="true" t="shared" si="6" ref="W7:W19">C7*594015.27/479782.82</f>
        <v>4812.339785244916</v>
      </c>
      <c r="X7" s="125">
        <f aca="true" t="shared" si="7" ref="X7:X19">C7*594005.55/479774.98</f>
        <v>4812.339677019007</v>
      </c>
      <c r="Y7" s="125">
        <f aca="true" t="shared" si="8" ref="Y7:Y19">C7*585421.9/479766.08</f>
        <v>4742.887165157654</v>
      </c>
      <c r="Z7" s="125">
        <f aca="true" t="shared" si="9" ref="Z7:Z19">C7*572643.93/479776.28</f>
        <v>4639.26580846598</v>
      </c>
      <c r="AA7" s="125">
        <f aca="true" t="shared" si="10" ref="AA7:AA19">C7*588687.52/475479.64</f>
        <v>4812.339644002423</v>
      </c>
      <c r="AB7" s="125">
        <f aca="true" t="shared" si="11" ref="AB7:AB19">C7*577403.59/475489.94</f>
        <v>4719.994736315556</v>
      </c>
      <c r="AC7" s="195">
        <f>SUM(Q7:AB7)</f>
        <v>57153.894681843834</v>
      </c>
      <c r="AD7" s="127"/>
      <c r="AE7" s="125"/>
      <c r="AF7" s="125"/>
      <c r="AG7" s="125"/>
      <c r="AH7" s="125"/>
      <c r="AI7" s="125"/>
      <c r="AJ7" s="125"/>
      <c r="AK7" s="125"/>
      <c r="AL7" s="125">
        <v>10954.16</v>
      </c>
      <c r="AM7" s="125"/>
      <c r="AN7" s="125"/>
      <c r="AO7" s="125"/>
      <c r="AP7" s="195">
        <f>SUM(AD7:AO7)</f>
        <v>10954.16</v>
      </c>
      <c r="AQ7" s="197">
        <f>P7+AC7+AP7</f>
        <v>78864.11468184384</v>
      </c>
    </row>
    <row r="8" spans="1:43" ht="12" customHeight="1">
      <c r="A8" s="18">
        <v>2</v>
      </c>
      <c r="B8" s="9" t="s">
        <v>10</v>
      </c>
      <c r="C8" s="123">
        <v>3432.3</v>
      </c>
      <c r="D8" s="125"/>
      <c r="E8" s="125"/>
      <c r="F8" s="125"/>
      <c r="G8" s="125"/>
      <c r="H8" s="125"/>
      <c r="I8" s="125"/>
      <c r="J8" s="125"/>
      <c r="K8" s="125">
        <v>20834.22</v>
      </c>
      <c r="L8" s="125"/>
      <c r="M8" s="125">
        <v>13342.28</v>
      </c>
      <c r="N8" s="125"/>
      <c r="O8" s="125">
        <v>6240</v>
      </c>
      <c r="P8" s="194">
        <f aca="true" t="shared" si="12" ref="P8:P17">SUM(D8:O8)</f>
        <v>40416.5</v>
      </c>
      <c r="Q8" s="127">
        <f t="shared" si="0"/>
        <v>4249.503095719237</v>
      </c>
      <c r="R8" s="125">
        <f t="shared" si="1"/>
        <v>4249.503000206396</v>
      </c>
      <c r="S8" s="125">
        <f t="shared" si="2"/>
        <v>4147.982177097795</v>
      </c>
      <c r="T8" s="125">
        <f t="shared" si="3"/>
        <v>4249.503001590489</v>
      </c>
      <c r="U8" s="125">
        <f t="shared" si="4"/>
        <v>4122.062659630589</v>
      </c>
      <c r="V8" s="125">
        <f t="shared" si="5"/>
        <v>4249.482406600471</v>
      </c>
      <c r="W8" s="125">
        <f t="shared" si="6"/>
        <v>4249.50316316245</v>
      </c>
      <c r="X8" s="125">
        <f t="shared" si="7"/>
        <v>4249.5030675943135</v>
      </c>
      <c r="Y8" s="125">
        <f t="shared" si="8"/>
        <v>4188.1735102448265</v>
      </c>
      <c r="Z8" s="125">
        <f t="shared" si="9"/>
        <v>4096.671392214305</v>
      </c>
      <c r="AA8" s="125">
        <f t="shared" si="10"/>
        <v>4249.5030384392485</v>
      </c>
      <c r="AB8" s="125">
        <f t="shared" si="11"/>
        <v>4167.9585102410365</v>
      </c>
      <c r="AC8" s="195">
        <f aca="true" t="shared" si="13" ref="AC8:AC19">SUM(Q8:AB8)</f>
        <v>50469.34902274115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>
        <v>7302.77</v>
      </c>
      <c r="AN8" s="125"/>
      <c r="AO8" s="125"/>
      <c r="AP8" s="195">
        <f aca="true" t="shared" si="14" ref="AP8:AP19">SUM(AD8:AO8)</f>
        <v>7302.77</v>
      </c>
      <c r="AQ8" s="197">
        <f aca="true" t="shared" si="15" ref="AQ8:AQ19">P8+AC8+AP8</f>
        <v>98188.61902274116</v>
      </c>
    </row>
    <row r="9" spans="1:43" ht="12" customHeight="1">
      <c r="A9" s="21">
        <v>3</v>
      </c>
      <c r="B9" s="9" t="s">
        <v>11</v>
      </c>
      <c r="C9" s="123">
        <v>3582.1</v>
      </c>
      <c r="D9" s="125"/>
      <c r="E9" s="125"/>
      <c r="F9" s="125">
        <f>7818.75</f>
        <v>7818.75</v>
      </c>
      <c r="G9" s="125"/>
      <c r="H9" s="125"/>
      <c r="I9" s="125"/>
      <c r="J9" s="125"/>
      <c r="K9" s="125"/>
      <c r="L9" s="125"/>
      <c r="M9" s="125"/>
      <c r="N9" s="125"/>
      <c r="O9" s="125">
        <f>1460.33+6240</f>
        <v>7700.33</v>
      </c>
      <c r="P9" s="194">
        <f t="shared" si="12"/>
        <v>15519.08</v>
      </c>
      <c r="Q9" s="127">
        <f t="shared" si="0"/>
        <v>4434.969274007481</v>
      </c>
      <c r="R9" s="125">
        <f t="shared" si="1"/>
        <v>4434.969174326057</v>
      </c>
      <c r="S9" s="125">
        <f t="shared" si="2"/>
        <v>4329.017555744548</v>
      </c>
      <c r="T9" s="125">
        <f t="shared" si="3"/>
        <v>4434.969175770559</v>
      </c>
      <c r="U9" s="125">
        <f t="shared" si="4"/>
        <v>4301.966801579912</v>
      </c>
      <c r="V9" s="125">
        <f t="shared" si="5"/>
        <v>4434.947681928604</v>
      </c>
      <c r="W9" s="125">
        <f t="shared" si="6"/>
        <v>4434.969344394199</v>
      </c>
      <c r="X9" s="125">
        <f t="shared" si="7"/>
        <v>4434.969244655068</v>
      </c>
      <c r="Y9" s="125">
        <f t="shared" si="8"/>
        <v>4370.963007618212</v>
      </c>
      <c r="Z9" s="125">
        <f t="shared" si="9"/>
        <v>4275.46735251897</v>
      </c>
      <c r="AA9" s="125">
        <f t="shared" si="10"/>
        <v>4434.9692142275535</v>
      </c>
      <c r="AB9" s="125">
        <f t="shared" si="11"/>
        <v>4349.86574003858</v>
      </c>
      <c r="AC9" s="195">
        <f t="shared" si="13"/>
        <v>52672.04356680974</v>
      </c>
      <c r="AD9" s="127"/>
      <c r="AE9" s="125"/>
      <c r="AF9" s="125"/>
      <c r="AG9" s="125"/>
      <c r="AH9" s="125"/>
      <c r="AI9" s="125"/>
      <c r="AJ9" s="125"/>
      <c r="AK9" s="125">
        <v>6846.36</v>
      </c>
      <c r="AL9" s="125"/>
      <c r="AM9" s="125"/>
      <c r="AN9" s="125"/>
      <c r="AO9" s="125"/>
      <c r="AP9" s="195">
        <f t="shared" si="14"/>
        <v>6846.36</v>
      </c>
      <c r="AQ9" s="197">
        <f t="shared" si="15"/>
        <v>75037.48356680974</v>
      </c>
    </row>
    <row r="10" spans="1:43" ht="12" customHeight="1">
      <c r="A10" s="18">
        <v>4</v>
      </c>
      <c r="B10" s="9" t="s">
        <v>12</v>
      </c>
      <c r="C10" s="123">
        <v>4289.94</v>
      </c>
      <c r="D10" s="130"/>
      <c r="E10" s="125"/>
      <c r="F10" s="125"/>
      <c r="G10" s="125">
        <v>1082.49</v>
      </c>
      <c r="H10" s="125"/>
      <c r="I10" s="125"/>
      <c r="J10" s="125"/>
      <c r="K10" s="125"/>
      <c r="L10" s="125"/>
      <c r="M10" s="125"/>
      <c r="N10" s="125"/>
      <c r="O10" s="125"/>
      <c r="P10" s="194">
        <f t="shared" si="12"/>
        <v>1082.49</v>
      </c>
      <c r="Q10" s="127">
        <f t="shared" si="0"/>
        <v>5311.340299638662</v>
      </c>
      <c r="R10" s="125">
        <f t="shared" si="1"/>
        <v>5311.340180259715</v>
      </c>
      <c r="S10" s="125">
        <f t="shared" si="2"/>
        <v>5184.45201783612</v>
      </c>
      <c r="T10" s="125">
        <f t="shared" si="3"/>
        <v>5311.340181989657</v>
      </c>
      <c r="U10" s="125">
        <f t="shared" si="4"/>
        <v>5152.055905968489</v>
      </c>
      <c r="V10" s="125">
        <f t="shared" si="5"/>
        <v>5311.314440862286</v>
      </c>
      <c r="W10" s="125">
        <f t="shared" si="6"/>
        <v>5311.340383934131</v>
      </c>
      <c r="X10" s="125">
        <f t="shared" si="7"/>
        <v>5311.340264486072</v>
      </c>
      <c r="Y10" s="125">
        <f t="shared" si="8"/>
        <v>5234.686090533953</v>
      </c>
      <c r="Z10" s="125">
        <f t="shared" si="9"/>
        <v>5120.320039715593</v>
      </c>
      <c r="AA10" s="125">
        <f t="shared" si="10"/>
        <v>5311.340228045937</v>
      </c>
      <c r="AB10" s="125">
        <f t="shared" si="11"/>
        <v>5209.419902521176</v>
      </c>
      <c r="AC10" s="195">
        <f t="shared" si="13"/>
        <v>63080.289935791785</v>
      </c>
      <c r="AD10" s="127"/>
      <c r="AE10" s="125"/>
      <c r="AF10" s="125"/>
      <c r="AG10" s="125">
        <v>13692.71</v>
      </c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13692.71</v>
      </c>
      <c r="AQ10" s="197">
        <f t="shared" si="15"/>
        <v>77855.48993579179</v>
      </c>
    </row>
    <row r="11" spans="1:43" ht="12" customHeight="1">
      <c r="A11" s="21">
        <v>5</v>
      </c>
      <c r="B11" s="9" t="s">
        <v>13</v>
      </c>
      <c r="C11" s="123">
        <v>4295.7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>
        <f>2332.48+1551.26+12480</f>
        <v>16363.74</v>
      </c>
      <c r="P11" s="194">
        <f t="shared" si="12"/>
        <v>16363.74</v>
      </c>
      <c r="Q11" s="127">
        <f t="shared" si="0"/>
        <v>5318.471709431321</v>
      </c>
      <c r="R11" s="125">
        <f t="shared" si="1"/>
        <v>5318.471589892087</v>
      </c>
      <c r="S11" s="125">
        <f t="shared" si="2"/>
        <v>5191.413057762724</v>
      </c>
      <c r="T11" s="125">
        <f t="shared" si="3"/>
        <v>5318.471591624351</v>
      </c>
      <c r="U11" s="125">
        <f t="shared" si="4"/>
        <v>5158.973448409264</v>
      </c>
      <c r="V11" s="125">
        <f t="shared" si="5"/>
        <v>5318.445815934983</v>
      </c>
      <c r="W11" s="125">
        <f t="shared" si="6"/>
        <v>5318.471793839971</v>
      </c>
      <c r="X11" s="125">
        <f t="shared" si="7"/>
        <v>5318.471674231533</v>
      </c>
      <c r="Y11" s="125">
        <f t="shared" si="8"/>
        <v>5241.714578550446</v>
      </c>
      <c r="Z11" s="125">
        <f t="shared" si="9"/>
        <v>5127.194971166561</v>
      </c>
      <c r="AA11" s="125">
        <f t="shared" si="10"/>
        <v>5318.47163774247</v>
      </c>
      <c r="AB11" s="125">
        <f t="shared" si="11"/>
        <v>5216.414466230347</v>
      </c>
      <c r="AC11" s="195">
        <f t="shared" si="13"/>
        <v>63164.98633481605</v>
      </c>
      <c r="AD11" s="127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>
        <v>13692.71</v>
      </c>
      <c r="AP11" s="195">
        <f t="shared" si="14"/>
        <v>13692.71</v>
      </c>
      <c r="AQ11" s="197">
        <f t="shared" si="15"/>
        <v>93221.43633481604</v>
      </c>
    </row>
    <row r="12" spans="1:43" ht="12" customHeight="1">
      <c r="A12" s="18">
        <v>6</v>
      </c>
      <c r="B12" s="9" t="s">
        <v>14</v>
      </c>
      <c r="C12" s="123">
        <v>2673.7</v>
      </c>
      <c r="D12" s="125"/>
      <c r="E12" s="125"/>
      <c r="F12" s="125"/>
      <c r="G12" s="125"/>
      <c r="H12" s="125"/>
      <c r="I12" s="125">
        <v>5280.12</v>
      </c>
      <c r="J12" s="125"/>
      <c r="K12" s="125"/>
      <c r="L12" s="125"/>
      <c r="M12" s="125">
        <v>4463.48</v>
      </c>
      <c r="N12" s="125"/>
      <c r="O12" s="125">
        <f>1161.48+6240</f>
        <v>7401.48</v>
      </c>
      <c r="P12" s="194">
        <f t="shared" si="12"/>
        <v>17145.079999999998</v>
      </c>
      <c r="Q12" s="127">
        <f t="shared" si="0"/>
        <v>3310.286521290249</v>
      </c>
      <c r="R12" s="125">
        <f t="shared" si="1"/>
        <v>3310.2864468874627</v>
      </c>
      <c r="S12" s="125">
        <f t="shared" si="2"/>
        <v>3231.2035506530237</v>
      </c>
      <c r="T12" s="125">
        <f t="shared" si="3"/>
        <v>3310.2864479656464</v>
      </c>
      <c r="U12" s="125">
        <f t="shared" si="4"/>
        <v>3211.0127124826804</v>
      </c>
      <c r="V12" s="125">
        <f t="shared" si="5"/>
        <v>3310.270404838644</v>
      </c>
      <c r="W12" s="125">
        <f t="shared" si="6"/>
        <v>3310.2865738272994</v>
      </c>
      <c r="X12" s="125">
        <f t="shared" si="7"/>
        <v>3310.2864993814396</v>
      </c>
      <c r="Y12" s="125">
        <f t="shared" si="8"/>
        <v>3262.5118766837372</v>
      </c>
      <c r="Z12" s="125">
        <f t="shared" si="9"/>
        <v>3191.2333716060325</v>
      </c>
      <c r="AA12" s="125">
        <f t="shared" si="10"/>
        <v>3310.286476670168</v>
      </c>
      <c r="AB12" s="125">
        <f t="shared" si="11"/>
        <v>3246.7647550713687</v>
      </c>
      <c r="AC12" s="195">
        <f t="shared" si="13"/>
        <v>39314.715637357745</v>
      </c>
      <c r="AD12" s="127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>
        <v>7302.77</v>
      </c>
      <c r="AP12" s="195">
        <f t="shared" si="14"/>
        <v>7302.77</v>
      </c>
      <c r="AQ12" s="197">
        <f t="shared" si="15"/>
        <v>63762.56563735775</v>
      </c>
    </row>
    <row r="13" spans="1:43" ht="12" customHeight="1">
      <c r="A13" s="21">
        <v>7</v>
      </c>
      <c r="B13" s="9" t="s">
        <v>15</v>
      </c>
      <c r="C13" s="123">
        <v>4279.8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>
        <v>6240</v>
      </c>
      <c r="P13" s="194">
        <f t="shared" si="12"/>
        <v>6240</v>
      </c>
      <c r="Q13" s="127">
        <f t="shared" si="0"/>
        <v>5298.7860469828365</v>
      </c>
      <c r="R13" s="125">
        <f t="shared" si="1"/>
        <v>5298.7859278860615</v>
      </c>
      <c r="S13" s="125">
        <f t="shared" si="2"/>
        <v>5172.197687131994</v>
      </c>
      <c r="T13" s="125">
        <f t="shared" si="3"/>
        <v>5298.785929611914</v>
      </c>
      <c r="U13" s="125">
        <f t="shared" si="4"/>
        <v>5139.878148963375</v>
      </c>
      <c r="V13" s="125">
        <f t="shared" si="5"/>
        <v>5298.760249328058</v>
      </c>
      <c r="W13" s="125">
        <f t="shared" si="6"/>
        <v>5298.786131079058</v>
      </c>
      <c r="X13" s="125">
        <f t="shared" si="7"/>
        <v>5298.786011913336</v>
      </c>
      <c r="Y13" s="125">
        <f t="shared" si="8"/>
        <v>5222.3130230882525</v>
      </c>
      <c r="Z13" s="125">
        <f t="shared" si="9"/>
        <v>5108.217295807121</v>
      </c>
      <c r="AA13" s="125">
        <f t="shared" si="10"/>
        <v>5298.785975559333</v>
      </c>
      <c r="AB13" s="125">
        <f t="shared" si="11"/>
        <v>5197.10655599149</v>
      </c>
      <c r="AC13" s="195">
        <f t="shared" si="13"/>
        <v>62931.18898334283</v>
      </c>
      <c r="AD13" s="127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95">
        <f t="shared" si="14"/>
        <v>0</v>
      </c>
      <c r="AQ13" s="197">
        <f t="shared" si="15"/>
        <v>69171.18898334283</v>
      </c>
    </row>
    <row r="14" spans="1:43" ht="12" customHeight="1">
      <c r="A14" s="18">
        <v>8</v>
      </c>
      <c r="B14" s="9" t="s">
        <v>16</v>
      </c>
      <c r="C14" s="123">
        <v>5057.4</v>
      </c>
      <c r="D14" s="125"/>
      <c r="E14" s="125"/>
      <c r="F14" s="125"/>
      <c r="G14" s="125"/>
      <c r="H14" s="125"/>
      <c r="I14" s="125"/>
      <c r="J14" s="125"/>
      <c r="K14" s="125"/>
      <c r="L14" s="125">
        <v>5082.97</v>
      </c>
      <c r="M14" s="125"/>
      <c r="N14" s="125"/>
      <c r="O14" s="125">
        <v>12480</v>
      </c>
      <c r="P14" s="194">
        <f>SUM(D14:O14)</f>
        <v>17562.97</v>
      </c>
      <c r="Q14" s="127">
        <f t="shared" si="0"/>
        <v>6261.526368991774</v>
      </c>
      <c r="R14" s="125">
        <f t="shared" si="1"/>
        <v>6261.526228256219</v>
      </c>
      <c r="S14" s="125">
        <f t="shared" si="2"/>
        <v>6111.93807722355</v>
      </c>
      <c r="T14" s="125">
        <f t="shared" si="3"/>
        <v>6261.5262302956435</v>
      </c>
      <c r="U14" s="125">
        <f t="shared" si="4"/>
        <v>6073.746378468007</v>
      </c>
      <c r="V14" s="125">
        <f t="shared" si="5"/>
        <v>6261.495884142184</v>
      </c>
      <c r="W14" s="125">
        <f t="shared" si="6"/>
        <v>6261.5264683675</v>
      </c>
      <c r="X14" s="125">
        <f t="shared" si="7"/>
        <v>6261.52632755047</v>
      </c>
      <c r="Y14" s="125">
        <f t="shared" si="8"/>
        <v>6171.158905314856</v>
      </c>
      <c r="Z14" s="125">
        <f t="shared" si="9"/>
        <v>6036.33304168768</v>
      </c>
      <c r="AA14" s="125">
        <f t="shared" si="10"/>
        <v>6261.52628459128</v>
      </c>
      <c r="AB14" s="125">
        <f t="shared" si="11"/>
        <v>6141.372656729603</v>
      </c>
      <c r="AC14" s="195">
        <f t="shared" si="13"/>
        <v>74365.20285161876</v>
      </c>
      <c r="AD14" s="127"/>
      <c r="AE14" s="125"/>
      <c r="AF14" s="125"/>
      <c r="AG14" s="125"/>
      <c r="AH14" s="125"/>
      <c r="AI14" s="125"/>
      <c r="AJ14" s="125"/>
      <c r="AK14" s="125"/>
      <c r="AL14" s="125">
        <v>10954.16</v>
      </c>
      <c r="AM14" s="125"/>
      <c r="AN14" s="125"/>
      <c r="AO14" s="125"/>
      <c r="AP14" s="195">
        <f t="shared" si="14"/>
        <v>10954.16</v>
      </c>
      <c r="AQ14" s="197">
        <f t="shared" si="15"/>
        <v>102882.33285161876</v>
      </c>
    </row>
    <row r="15" spans="1:43" ht="12" customHeight="1">
      <c r="A15" s="21">
        <v>9</v>
      </c>
      <c r="B15" s="9" t="s">
        <v>17</v>
      </c>
      <c r="C15" s="123">
        <v>4276.6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>
        <v>1638.12</v>
      </c>
      <c r="N15" s="125"/>
      <c r="O15" s="125"/>
      <c r="P15" s="194">
        <f t="shared" si="12"/>
        <v>1638.12</v>
      </c>
      <c r="Q15" s="127">
        <f t="shared" si="0"/>
        <v>5294.824152653581</v>
      </c>
      <c r="R15" s="125">
        <f t="shared" si="1"/>
        <v>5294.824033645856</v>
      </c>
      <c r="S15" s="125">
        <f t="shared" si="2"/>
        <v>5168.3304427283265</v>
      </c>
      <c r="T15" s="125">
        <f t="shared" si="3"/>
        <v>5294.824035370418</v>
      </c>
      <c r="U15" s="125">
        <f t="shared" si="4"/>
        <v>5136.035069829612</v>
      </c>
      <c r="V15" s="125">
        <f t="shared" si="5"/>
        <v>5294.798374287671</v>
      </c>
      <c r="W15" s="125">
        <f t="shared" si="6"/>
        <v>5294.824236686924</v>
      </c>
      <c r="X15" s="125">
        <f t="shared" si="7"/>
        <v>5294.824117610303</v>
      </c>
      <c r="Y15" s="125">
        <f t="shared" si="8"/>
        <v>5218.408307523534</v>
      </c>
      <c r="Z15" s="125">
        <f t="shared" si="9"/>
        <v>5104.397889445473</v>
      </c>
      <c r="AA15" s="125">
        <f t="shared" si="10"/>
        <v>5294.82408128348</v>
      </c>
      <c r="AB15" s="125">
        <f t="shared" si="11"/>
        <v>5193.220687264172</v>
      </c>
      <c r="AC15" s="195">
        <f>SUM(Q15:AB15)</f>
        <v>62884.13542832934</v>
      </c>
      <c r="AD15" s="127"/>
      <c r="AE15" s="125">
        <f>9128.47</f>
        <v>9128.47</v>
      </c>
      <c r="AF15" s="125"/>
      <c r="AG15" s="125"/>
      <c r="AH15" s="125"/>
      <c r="AI15" s="125"/>
      <c r="AJ15" s="125"/>
      <c r="AK15" s="125"/>
      <c r="AL15" s="125"/>
      <c r="AM15" s="125">
        <v>9128.47</v>
      </c>
      <c r="AN15" s="125"/>
      <c r="AO15" s="125"/>
      <c r="AP15" s="195">
        <f t="shared" si="14"/>
        <v>18256.94</v>
      </c>
      <c r="AQ15" s="197">
        <f t="shared" si="15"/>
        <v>82779.19542832935</v>
      </c>
    </row>
    <row r="16" spans="1:43" ht="12" customHeight="1">
      <c r="A16" s="18">
        <v>10</v>
      </c>
      <c r="B16" s="9" t="s">
        <v>18</v>
      </c>
      <c r="C16" s="123">
        <v>5098.46</v>
      </c>
      <c r="D16" s="125"/>
      <c r="E16" s="125"/>
      <c r="F16" s="125">
        <f>6598.36</f>
        <v>6598.36</v>
      </c>
      <c r="G16" s="125"/>
      <c r="H16" s="125"/>
      <c r="I16" s="125"/>
      <c r="J16" s="125"/>
      <c r="K16" s="125"/>
      <c r="L16" s="125"/>
      <c r="M16" s="125"/>
      <c r="N16" s="125"/>
      <c r="O16" s="125">
        <v>12480</v>
      </c>
      <c r="P16" s="194">
        <f>SUM(D16:O16)</f>
        <v>19078.36</v>
      </c>
      <c r="Q16" s="127">
        <f t="shared" si="0"/>
        <v>6312.362425604026</v>
      </c>
      <c r="R16" s="125">
        <f t="shared" si="1"/>
        <v>6312.362283725868</v>
      </c>
      <c r="S16" s="125">
        <f t="shared" si="2"/>
        <v>6161.559656978127</v>
      </c>
      <c r="T16" s="125">
        <f t="shared" si="3"/>
        <v>6312.362285781849</v>
      </c>
      <c r="U16" s="125">
        <f t="shared" si="4"/>
        <v>6123.057887603115</v>
      </c>
      <c r="V16" s="125">
        <f t="shared" si="5"/>
        <v>6312.331693254155</v>
      </c>
      <c r="W16" s="125">
        <f t="shared" si="6"/>
        <v>6312.362525786563</v>
      </c>
      <c r="X16" s="125">
        <f t="shared" si="7"/>
        <v>6312.362383826268</v>
      </c>
      <c r="Y16" s="125">
        <f t="shared" si="8"/>
        <v>6221.261286904652</v>
      </c>
      <c r="Z16" s="125">
        <f t="shared" si="9"/>
        <v>6085.340799565581</v>
      </c>
      <c r="AA16" s="125">
        <f t="shared" si="10"/>
        <v>6312.3623405183025</v>
      </c>
      <c r="AB16" s="125">
        <f t="shared" si="11"/>
        <v>6191.233209836994</v>
      </c>
      <c r="AC16" s="195">
        <f t="shared" si="13"/>
        <v>74968.9587793855</v>
      </c>
      <c r="AD16" s="127"/>
      <c r="AE16" s="125"/>
      <c r="AF16" s="125">
        <v>6846.36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95">
        <f t="shared" si="14"/>
        <v>6846.36</v>
      </c>
      <c r="AQ16" s="197">
        <f t="shared" si="15"/>
        <v>100893.6787793855</v>
      </c>
    </row>
    <row r="17" spans="1:43" ht="12" customHeight="1">
      <c r="A17" s="21">
        <v>11</v>
      </c>
      <c r="B17" s="9" t="s">
        <v>19</v>
      </c>
      <c r="C17" s="123">
        <v>3366.3</v>
      </c>
      <c r="D17" s="15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94">
        <f t="shared" si="12"/>
        <v>0</v>
      </c>
      <c r="Q17" s="127">
        <f t="shared" si="0"/>
        <v>4167.789025178355</v>
      </c>
      <c r="R17" s="125">
        <f t="shared" si="1"/>
        <v>4167.788931502138</v>
      </c>
      <c r="S17" s="125">
        <f t="shared" si="2"/>
        <v>4068.2202612721235</v>
      </c>
      <c r="T17" s="125">
        <f t="shared" si="3"/>
        <v>4167.788932859617</v>
      </c>
      <c r="U17" s="125">
        <f t="shared" si="4"/>
        <v>4042.799152496708</v>
      </c>
      <c r="V17" s="125">
        <f t="shared" si="5"/>
        <v>4167.768733892482</v>
      </c>
      <c r="W17" s="125">
        <f t="shared" si="6"/>
        <v>4167.7890913246965</v>
      </c>
      <c r="X17" s="125">
        <f t="shared" si="7"/>
        <v>4167.788997594248</v>
      </c>
      <c r="Y17" s="125">
        <f t="shared" si="8"/>
        <v>4107.638751722507</v>
      </c>
      <c r="Z17" s="125">
        <f t="shared" si="9"/>
        <v>4017.8961360053067</v>
      </c>
      <c r="AA17" s="125">
        <f t="shared" si="10"/>
        <v>4167.788968999808</v>
      </c>
      <c r="AB17" s="125">
        <f t="shared" si="11"/>
        <v>4087.8124677401165</v>
      </c>
      <c r="AC17" s="195">
        <f t="shared" si="13"/>
        <v>49498.86945058811</v>
      </c>
      <c r="AD17" s="127"/>
      <c r="AE17" s="125"/>
      <c r="AF17" s="125"/>
      <c r="AG17" s="125"/>
      <c r="AH17" s="125">
        <v>7302.77</v>
      </c>
      <c r="AI17" s="125"/>
      <c r="AJ17" s="125"/>
      <c r="AK17" s="125"/>
      <c r="AL17" s="125"/>
      <c r="AM17" s="125"/>
      <c r="AN17" s="125"/>
      <c r="AO17" s="125"/>
      <c r="AP17" s="195">
        <f t="shared" si="14"/>
        <v>7302.77</v>
      </c>
      <c r="AQ17" s="197">
        <f t="shared" si="15"/>
        <v>56801.6394505881</v>
      </c>
    </row>
    <row r="18" spans="1:43" ht="12" customHeight="1">
      <c r="A18" s="18">
        <v>12</v>
      </c>
      <c r="B18" s="9" t="s">
        <v>20</v>
      </c>
      <c r="C18" s="123">
        <v>4313.6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>
        <f>921.65+6240</f>
        <v>7161.65</v>
      </c>
      <c r="P18" s="194">
        <f>SUM(D18:O18)</f>
        <v>7161.65</v>
      </c>
      <c r="Q18" s="127">
        <f t="shared" si="0"/>
        <v>5340.633555835591</v>
      </c>
      <c r="R18" s="125">
        <f t="shared" si="1"/>
        <v>5340.633435798242</v>
      </c>
      <c r="S18" s="125">
        <f t="shared" si="2"/>
        <v>5213.045456145748</v>
      </c>
      <c r="T18" s="125">
        <f t="shared" si="3"/>
        <v>5340.6334375377255</v>
      </c>
      <c r="U18" s="125">
        <f t="shared" si="4"/>
        <v>5180.470672313758</v>
      </c>
      <c r="V18" s="125">
        <f t="shared" si="5"/>
        <v>5340.60755444215</v>
      </c>
      <c r="W18" s="125">
        <f t="shared" si="6"/>
        <v>5340.633640595969</v>
      </c>
      <c r="X18" s="125">
        <f t="shared" si="7"/>
        <v>5340.6335204891275</v>
      </c>
      <c r="Y18" s="125">
        <f t="shared" si="8"/>
        <v>5263.556581240591</v>
      </c>
      <c r="Z18" s="125">
        <f t="shared" si="9"/>
        <v>5148.559775502033</v>
      </c>
      <c r="AA18" s="125">
        <f t="shared" si="10"/>
        <v>5340.633483848015</v>
      </c>
      <c r="AB18" s="125">
        <f t="shared" si="11"/>
        <v>5238.151044423778</v>
      </c>
      <c r="AC18" s="195">
        <f t="shared" si="13"/>
        <v>63428.19215817274</v>
      </c>
      <c r="AD18" s="127"/>
      <c r="AE18" s="125"/>
      <c r="AF18" s="125"/>
      <c r="AG18" s="125"/>
      <c r="AH18" s="125">
        <v>9128.47</v>
      </c>
      <c r="AI18" s="125"/>
      <c r="AJ18" s="125"/>
      <c r="AK18" s="125"/>
      <c r="AL18" s="125"/>
      <c r="AM18" s="125"/>
      <c r="AN18" s="125"/>
      <c r="AO18" s="125"/>
      <c r="AP18" s="195">
        <f t="shared" si="14"/>
        <v>9128.47</v>
      </c>
      <c r="AQ18" s="197">
        <f t="shared" si="15"/>
        <v>79718.31215817273</v>
      </c>
    </row>
    <row r="19" spans="1:43" ht="12" customHeight="1">
      <c r="A19" s="18">
        <v>13</v>
      </c>
      <c r="B19" s="9" t="s">
        <v>177</v>
      </c>
      <c r="C19" s="123">
        <v>1559.9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>
        <v>4991.34</v>
      </c>
      <c r="P19" s="125">
        <f>SUM(D19:O19)</f>
        <v>4991.34</v>
      </c>
      <c r="Q19" s="127">
        <f t="shared" si="0"/>
        <v>1931.2996763139695</v>
      </c>
      <c r="R19" s="125">
        <f t="shared" si="1"/>
        <v>1931.299632905619</v>
      </c>
      <c r="S19" s="125">
        <f t="shared" si="2"/>
        <v>1885.1607954009996</v>
      </c>
      <c r="T19" s="125">
        <f t="shared" si="3"/>
        <v>1931.299633534657</v>
      </c>
      <c r="U19" s="125">
        <f t="shared" si="4"/>
        <v>1873.3809814869783</v>
      </c>
      <c r="V19" s="125">
        <f t="shared" si="5"/>
        <v>1931.290273593822</v>
      </c>
      <c r="W19" s="125">
        <f t="shared" si="6"/>
        <v>1931.2997069653309</v>
      </c>
      <c r="X19" s="125">
        <f t="shared" si="7"/>
        <v>1931.2996635318502</v>
      </c>
      <c r="Y19" s="125">
        <f t="shared" si="8"/>
        <v>1903.4268154388906</v>
      </c>
      <c r="Z19" s="125">
        <f t="shared" si="9"/>
        <v>1861.8412448547897</v>
      </c>
      <c r="AA19" s="125">
        <f t="shared" si="10"/>
        <v>1931.2996502815558</v>
      </c>
      <c r="AB19" s="125">
        <f t="shared" si="11"/>
        <v>1894.2395711694762</v>
      </c>
      <c r="AC19" s="220">
        <f t="shared" si="13"/>
        <v>22937.13764547794</v>
      </c>
      <c r="AD19" s="142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95">
        <f t="shared" si="14"/>
        <v>0</v>
      </c>
      <c r="AQ19" s="197">
        <f t="shared" si="15"/>
        <v>27928.47764547794</v>
      </c>
    </row>
    <row r="20" spans="1:43" ht="12" customHeight="1" thickBot="1">
      <c r="A20" s="11">
        <v>12</v>
      </c>
      <c r="B20" s="22" t="s">
        <v>21</v>
      </c>
      <c r="C20" s="133">
        <f>SUM(C7:C19)</f>
        <v>50112.700000000004</v>
      </c>
      <c r="D20" s="126">
        <f>SUM(D7:D19)</f>
        <v>0</v>
      </c>
      <c r="E20" s="126">
        <f aca="true" t="shared" si="16" ref="E20:O20">SUM(E7:E19)</f>
        <v>0</v>
      </c>
      <c r="F20" s="126">
        <f t="shared" si="16"/>
        <v>14417.11</v>
      </c>
      <c r="G20" s="126">
        <f t="shared" si="16"/>
        <v>1082.49</v>
      </c>
      <c r="H20" s="126">
        <f t="shared" si="16"/>
        <v>0</v>
      </c>
      <c r="I20" s="126">
        <f t="shared" si="16"/>
        <v>5280.12</v>
      </c>
      <c r="J20" s="126">
        <f t="shared" si="16"/>
        <v>0</v>
      </c>
      <c r="K20" s="126">
        <f t="shared" si="16"/>
        <v>20834.22</v>
      </c>
      <c r="L20" s="126">
        <f t="shared" si="16"/>
        <v>9830.86</v>
      </c>
      <c r="M20" s="126">
        <f t="shared" si="16"/>
        <v>25452.05</v>
      </c>
      <c r="N20" s="126">
        <f t="shared" si="16"/>
        <v>0</v>
      </c>
      <c r="O20" s="126">
        <f t="shared" si="16"/>
        <v>81058.54</v>
      </c>
      <c r="P20" s="126">
        <f>SUM(P7:P19)</f>
        <v>157955.39</v>
      </c>
      <c r="Q20" s="128">
        <f>SUM(Q7:Q19)</f>
        <v>62044.13186051609</v>
      </c>
      <c r="R20" s="128">
        <f aca="true" t="shared" si="17" ref="R20:AB20">SUM(R7:R19)</f>
        <v>62044.130465997434</v>
      </c>
      <c r="S20" s="128">
        <f t="shared" si="17"/>
        <v>60561.89332116909</v>
      </c>
      <c r="T20" s="128">
        <f t="shared" si="17"/>
        <v>62044.13048620565</v>
      </c>
      <c r="U20" s="128">
        <f t="shared" si="17"/>
        <v>60183.45990830341</v>
      </c>
      <c r="V20" s="128">
        <f t="shared" si="17"/>
        <v>62043.829792631</v>
      </c>
      <c r="W20" s="128">
        <f t="shared" si="17"/>
        <v>62044.132845209</v>
      </c>
      <c r="X20" s="128">
        <f t="shared" si="17"/>
        <v>62044.13144988304</v>
      </c>
      <c r="Y20" s="128">
        <f t="shared" si="17"/>
        <v>61148.69990002211</v>
      </c>
      <c r="Z20" s="128">
        <f t="shared" si="17"/>
        <v>59812.73911855542</v>
      </c>
      <c r="AA20" s="128">
        <f t="shared" si="17"/>
        <v>62044.13102420958</v>
      </c>
      <c r="AB20" s="128">
        <f t="shared" si="17"/>
        <v>60853.55430357369</v>
      </c>
      <c r="AC20" s="128">
        <f>SUM(AC7:AC19)</f>
        <v>736868.9644762755</v>
      </c>
      <c r="AD20" s="128">
        <f>SUM(AD7:AD19)</f>
        <v>0</v>
      </c>
      <c r="AE20" s="128">
        <f aca="true" t="shared" si="18" ref="AE20:AM20">SUM(AE7:AE19)</f>
        <v>9128.47</v>
      </c>
      <c r="AF20" s="128">
        <f t="shared" si="18"/>
        <v>6846.36</v>
      </c>
      <c r="AG20" s="128">
        <f t="shared" si="18"/>
        <v>13692.71</v>
      </c>
      <c r="AH20" s="128">
        <f t="shared" si="18"/>
        <v>16431.239999999998</v>
      </c>
      <c r="AI20" s="128">
        <f t="shared" si="18"/>
        <v>0</v>
      </c>
      <c r="AJ20" s="128">
        <f t="shared" si="18"/>
        <v>0</v>
      </c>
      <c r="AK20" s="128">
        <f t="shared" si="18"/>
        <v>6846.36</v>
      </c>
      <c r="AL20" s="128">
        <f t="shared" si="18"/>
        <v>21908.32</v>
      </c>
      <c r="AM20" s="128">
        <f t="shared" si="18"/>
        <v>16431.239999999998</v>
      </c>
      <c r="AN20" s="128">
        <f>SUM(AN7:AN19)</f>
        <v>0</v>
      </c>
      <c r="AO20" s="128">
        <f>SUM(AO7:AO19)</f>
        <v>20995.48</v>
      </c>
      <c r="AP20" s="128">
        <f>SUM(AP7:AP19)</f>
        <v>112280.18000000001</v>
      </c>
      <c r="AQ20" s="200">
        <f>SUM(AQ7:AQ19)</f>
        <v>1007104.5344762757</v>
      </c>
    </row>
    <row r="21" spans="4:41" ht="12.75"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Q21" s="53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</row>
    <row r="22" spans="1:24" ht="12.75">
      <c r="A22" s="51"/>
      <c r="B22" s="51"/>
      <c r="C22" s="51"/>
      <c r="D22" s="51"/>
      <c r="E22" s="51"/>
      <c r="F22" s="231"/>
      <c r="G22" s="51"/>
      <c r="H22" s="51"/>
      <c r="I22" s="51"/>
      <c r="J22" s="231"/>
      <c r="K22" s="51"/>
      <c r="L22" s="51"/>
      <c r="M22" s="51"/>
      <c r="N22" s="51"/>
      <c r="O22" s="23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51"/>
      <c r="B23" s="117"/>
      <c r="C23" s="115"/>
      <c r="D23" s="115"/>
      <c r="E23" s="11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11" ht="12.75">
      <c r="A24" s="51"/>
      <c r="B24" s="117" t="s">
        <v>18</v>
      </c>
      <c r="C24" s="248" t="s">
        <v>201</v>
      </c>
      <c r="D24" s="248"/>
      <c r="E24" s="248"/>
      <c r="F24" s="248"/>
      <c r="G24" s="248"/>
      <c r="H24" s="248"/>
      <c r="I24" s="248"/>
      <c r="J24" s="248"/>
      <c r="K24" s="156">
        <v>6598.36</v>
      </c>
    </row>
    <row r="25" spans="1:47" ht="12.75" customHeight="1">
      <c r="A25" s="51"/>
      <c r="B25" s="118" t="s">
        <v>11</v>
      </c>
      <c r="C25" s="272" t="s">
        <v>211</v>
      </c>
      <c r="D25" s="272"/>
      <c r="E25" s="272"/>
      <c r="F25" s="272"/>
      <c r="G25" s="272"/>
      <c r="H25" s="272"/>
      <c r="I25" s="272"/>
      <c r="J25" s="272"/>
      <c r="K25" s="160">
        <v>7818.75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</row>
    <row r="26" spans="1:43" ht="12.75">
      <c r="A26" s="51"/>
      <c r="B26" s="118" t="s">
        <v>12</v>
      </c>
      <c r="C26" s="272" t="s">
        <v>224</v>
      </c>
      <c r="D26" s="272"/>
      <c r="E26" s="272"/>
      <c r="F26" s="272"/>
      <c r="G26" s="272"/>
      <c r="H26" s="272"/>
      <c r="I26" s="272"/>
      <c r="J26" s="272"/>
      <c r="K26" s="174">
        <v>1082.49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</row>
    <row r="27" spans="1:47" ht="12.75">
      <c r="A27" s="51"/>
      <c r="B27" s="118" t="s">
        <v>14</v>
      </c>
      <c r="C27" s="265" t="s">
        <v>259</v>
      </c>
      <c r="D27" s="265"/>
      <c r="E27" s="265"/>
      <c r="F27" s="265"/>
      <c r="G27" s="265"/>
      <c r="H27" s="265"/>
      <c r="I27" s="265"/>
      <c r="J27" s="265"/>
      <c r="K27" s="174">
        <v>5280.12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</row>
    <row r="28" spans="1:43" ht="12.75" customHeight="1">
      <c r="A28" s="51"/>
      <c r="B28" s="118" t="s">
        <v>10</v>
      </c>
      <c r="C28" s="241" t="s">
        <v>271</v>
      </c>
      <c r="D28" s="241"/>
      <c r="E28" s="241"/>
      <c r="F28" s="241"/>
      <c r="G28" s="241"/>
      <c r="H28" s="241"/>
      <c r="I28" s="241"/>
      <c r="J28" s="241"/>
      <c r="K28" s="173">
        <v>20834.22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</row>
    <row r="29" spans="1:48" ht="13.5" customHeight="1">
      <c r="A29" s="51"/>
      <c r="B29" s="118" t="s">
        <v>16</v>
      </c>
      <c r="C29" s="240" t="s">
        <v>287</v>
      </c>
      <c r="D29" s="240"/>
      <c r="E29" s="240"/>
      <c r="F29" s="240"/>
      <c r="G29" s="240"/>
      <c r="H29" s="240"/>
      <c r="I29" s="240"/>
      <c r="J29" s="240"/>
      <c r="K29" s="173">
        <v>5082.97</v>
      </c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3" ht="12.75">
      <c r="A30" s="51"/>
      <c r="B30" s="118" t="s">
        <v>9</v>
      </c>
      <c r="C30" s="240" t="s">
        <v>293</v>
      </c>
      <c r="D30" s="240"/>
      <c r="E30" s="240"/>
      <c r="F30" s="240"/>
      <c r="G30" s="240"/>
      <c r="H30" s="240"/>
      <c r="I30" s="240"/>
      <c r="J30" s="240"/>
      <c r="K30" s="173">
        <v>4747.89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</row>
    <row r="31" spans="1:43" ht="12.75" customHeight="1">
      <c r="A31" s="51"/>
      <c r="B31" s="118" t="s">
        <v>17</v>
      </c>
      <c r="C31" s="241" t="s">
        <v>294</v>
      </c>
      <c r="D31" s="241"/>
      <c r="E31" s="241"/>
      <c r="F31" s="241"/>
      <c r="G31" s="241"/>
      <c r="H31" s="241"/>
      <c r="I31" s="241"/>
      <c r="J31" s="241"/>
      <c r="K31" s="173">
        <v>1638.12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</row>
    <row r="32" spans="1:48" ht="15" customHeight="1">
      <c r="A32" s="51"/>
      <c r="B32" s="118" t="s">
        <v>10</v>
      </c>
      <c r="C32" s="240" t="s">
        <v>297</v>
      </c>
      <c r="D32" s="240"/>
      <c r="E32" s="240"/>
      <c r="F32" s="240"/>
      <c r="G32" s="240"/>
      <c r="H32" s="240"/>
      <c r="I32" s="240"/>
      <c r="J32" s="240"/>
      <c r="K32" s="173">
        <v>13342.28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</row>
    <row r="33" spans="1:48" ht="12.75" customHeight="1">
      <c r="A33" s="51"/>
      <c r="B33" s="118" t="s">
        <v>14</v>
      </c>
      <c r="C33" s="240" t="s">
        <v>301</v>
      </c>
      <c r="D33" s="240"/>
      <c r="E33" s="240"/>
      <c r="F33" s="240"/>
      <c r="G33" s="240"/>
      <c r="H33" s="240"/>
      <c r="I33" s="240"/>
      <c r="J33" s="240"/>
      <c r="K33" s="173">
        <v>4463.48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</row>
    <row r="34" spans="2:48" ht="15" customHeight="1">
      <c r="B34" s="118" t="s">
        <v>9</v>
      </c>
      <c r="C34" s="240" t="s">
        <v>303</v>
      </c>
      <c r="D34" s="240"/>
      <c r="E34" s="240"/>
      <c r="F34" s="240"/>
      <c r="G34" s="240"/>
      <c r="H34" s="240"/>
      <c r="I34" s="240"/>
      <c r="J34" s="240"/>
      <c r="K34" s="173">
        <v>6008.17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</row>
    <row r="35" spans="2:48" ht="14.25" customHeight="1">
      <c r="B35" s="118" t="s">
        <v>13</v>
      </c>
      <c r="C35" s="240" t="s">
        <v>315</v>
      </c>
      <c r="D35" s="240"/>
      <c r="E35" s="240"/>
      <c r="F35" s="240"/>
      <c r="G35" s="240"/>
      <c r="H35" s="240"/>
      <c r="I35" s="240"/>
      <c r="J35" s="240"/>
      <c r="K35" s="173">
        <v>2332.48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</row>
    <row r="36" spans="2:45" ht="12.75" customHeight="1">
      <c r="B36" s="118" t="s">
        <v>335</v>
      </c>
      <c r="C36" s="240" t="s">
        <v>336</v>
      </c>
      <c r="D36" s="240"/>
      <c r="E36" s="240"/>
      <c r="F36" s="240"/>
      <c r="G36" s="240"/>
      <c r="H36" s="240"/>
      <c r="I36" s="240"/>
      <c r="J36" s="240"/>
      <c r="K36" s="173">
        <v>1460.33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</row>
    <row r="37" spans="2:45" ht="12.75" customHeight="1">
      <c r="B37" s="118" t="s">
        <v>337</v>
      </c>
      <c r="C37" s="240" t="s">
        <v>326</v>
      </c>
      <c r="D37" s="240"/>
      <c r="E37" s="240"/>
      <c r="F37" s="240"/>
      <c r="G37" s="240"/>
      <c r="H37" s="240"/>
      <c r="I37" s="240"/>
      <c r="J37" s="240"/>
      <c r="K37" s="173">
        <v>921.65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</row>
    <row r="38" spans="2:45" ht="12.75" customHeight="1">
      <c r="B38" s="118" t="s">
        <v>338</v>
      </c>
      <c r="C38" s="240" t="s">
        <v>339</v>
      </c>
      <c r="D38" s="240"/>
      <c r="E38" s="240"/>
      <c r="F38" s="240"/>
      <c r="G38" s="240"/>
      <c r="H38" s="240"/>
      <c r="I38" s="240"/>
      <c r="J38" s="240"/>
      <c r="K38" s="173">
        <v>4991.34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</row>
    <row r="39" spans="2:45" ht="12.75" customHeight="1">
      <c r="B39" s="118" t="s">
        <v>342</v>
      </c>
      <c r="C39" s="240" t="s">
        <v>341</v>
      </c>
      <c r="D39" s="240"/>
      <c r="E39" s="240"/>
      <c r="F39" s="240"/>
      <c r="G39" s="240"/>
      <c r="H39" s="240"/>
      <c r="I39" s="240"/>
      <c r="J39" s="240"/>
      <c r="K39" s="173">
        <v>1161.48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</row>
    <row r="40" spans="2:45" ht="12.75" customHeight="1">
      <c r="B40" s="118" t="s">
        <v>343</v>
      </c>
      <c r="C40" s="240" t="s">
        <v>344</v>
      </c>
      <c r="D40" s="240"/>
      <c r="E40" s="240"/>
      <c r="F40" s="240"/>
      <c r="G40" s="240"/>
      <c r="H40" s="240"/>
      <c r="I40" s="240"/>
      <c r="J40" s="240"/>
      <c r="K40" s="173">
        <v>1551.26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</row>
    <row r="41" spans="2:45" ht="12.75" customHeight="1">
      <c r="B41" s="118"/>
      <c r="C41" s="240"/>
      <c r="D41" s="240"/>
      <c r="E41" s="240"/>
      <c r="F41" s="240"/>
      <c r="G41" s="240"/>
      <c r="H41" s="240"/>
      <c r="I41" s="240"/>
      <c r="J41" s="240"/>
      <c r="K41" s="173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</row>
    <row r="42" spans="2:45" ht="12.75" customHeight="1">
      <c r="B42" s="118"/>
      <c r="C42" s="240"/>
      <c r="D42" s="240"/>
      <c r="E42" s="240"/>
      <c r="F42" s="240"/>
      <c r="G42" s="240"/>
      <c r="H42" s="240"/>
      <c r="I42" s="240"/>
      <c r="J42" s="240"/>
      <c r="K42" s="173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</row>
    <row r="43" spans="2:45" ht="12.75" customHeight="1">
      <c r="B43" s="118"/>
      <c r="C43" s="240"/>
      <c r="D43" s="240"/>
      <c r="E43" s="240"/>
      <c r="F43" s="240"/>
      <c r="G43" s="240"/>
      <c r="H43" s="240"/>
      <c r="I43" s="240"/>
      <c r="J43" s="240"/>
      <c r="K43" s="173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</row>
    <row r="44" spans="2:45" ht="12.75" customHeight="1">
      <c r="B44" s="118"/>
      <c r="C44" s="240"/>
      <c r="D44" s="240"/>
      <c r="E44" s="240"/>
      <c r="F44" s="240"/>
      <c r="G44" s="240"/>
      <c r="H44" s="240"/>
      <c r="I44" s="240"/>
      <c r="J44" s="240"/>
      <c r="K44" s="173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</row>
    <row r="45" spans="2:45" ht="12.75" customHeight="1">
      <c r="B45" s="118"/>
      <c r="C45" s="240"/>
      <c r="D45" s="240"/>
      <c r="E45" s="240"/>
      <c r="F45" s="240"/>
      <c r="G45" s="240"/>
      <c r="H45" s="240"/>
      <c r="I45" s="240"/>
      <c r="J45" s="240"/>
      <c r="K45" s="173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</row>
    <row r="46" spans="2:45" ht="12.75" customHeight="1">
      <c r="B46" s="118"/>
      <c r="C46" s="240"/>
      <c r="D46" s="240"/>
      <c r="E46" s="240"/>
      <c r="F46" s="240"/>
      <c r="G46" s="240"/>
      <c r="H46" s="240"/>
      <c r="I46" s="240"/>
      <c r="J46" s="240"/>
      <c r="K46" s="173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</row>
    <row r="47" spans="2:45" ht="12.75" customHeight="1">
      <c r="B47" s="118"/>
      <c r="C47" s="122"/>
      <c r="D47" s="122"/>
      <c r="E47" s="122"/>
      <c r="F47" s="122"/>
      <c r="G47" s="122"/>
      <c r="H47" s="122"/>
      <c r="I47" s="122"/>
      <c r="J47" s="122"/>
      <c r="K47" s="173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</row>
    <row r="48" spans="2:45" ht="12.75" customHeight="1">
      <c r="B48" s="116"/>
      <c r="C48" s="241"/>
      <c r="D48" s="241"/>
      <c r="E48" s="241"/>
      <c r="F48" s="241"/>
      <c r="G48" s="241"/>
      <c r="H48" s="241"/>
      <c r="I48" s="241"/>
      <c r="J48" s="241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</row>
    <row r="49" spans="3:10" ht="12.75">
      <c r="C49" s="268"/>
      <c r="D49" s="268"/>
      <c r="E49" s="268"/>
      <c r="F49" s="268"/>
      <c r="G49" s="268"/>
      <c r="H49" s="268"/>
      <c r="I49" s="268"/>
      <c r="J49" s="268"/>
    </row>
    <row r="50" spans="3:10" ht="12.75">
      <c r="C50" s="268"/>
      <c r="D50" s="268"/>
      <c r="E50" s="268"/>
      <c r="F50" s="268"/>
      <c r="G50" s="268"/>
      <c r="H50" s="268"/>
      <c r="I50" s="268"/>
      <c r="J50" s="268"/>
    </row>
    <row r="51" spans="3:10" ht="12.75">
      <c r="C51" s="268"/>
      <c r="D51" s="268"/>
      <c r="E51" s="268"/>
      <c r="F51" s="268"/>
      <c r="G51" s="268"/>
      <c r="H51" s="268"/>
      <c r="I51" s="268"/>
      <c r="J51" s="268"/>
    </row>
  </sheetData>
  <sheetProtection/>
  <autoFilter ref="A1:I20"/>
  <mergeCells count="32">
    <mergeCell ref="C49:J49"/>
    <mergeCell ref="C50:J50"/>
    <mergeCell ref="C51:J51"/>
    <mergeCell ref="C32:J32"/>
    <mergeCell ref="C33:J33"/>
    <mergeCell ref="C34:J34"/>
    <mergeCell ref="C35:J35"/>
    <mergeCell ref="C36:J36"/>
    <mergeCell ref="C48:J48"/>
    <mergeCell ref="C37:J37"/>
    <mergeCell ref="A2:AQ2"/>
    <mergeCell ref="AD5:AP5"/>
    <mergeCell ref="Q5:AC5"/>
    <mergeCell ref="A4:I4"/>
    <mergeCell ref="D5:P5"/>
    <mergeCell ref="C24:J24"/>
    <mergeCell ref="C31:J31"/>
    <mergeCell ref="C25:J25"/>
    <mergeCell ref="C26:J26"/>
    <mergeCell ref="C27:J27"/>
    <mergeCell ref="C28:J28"/>
    <mergeCell ref="C29:J29"/>
    <mergeCell ref="C30:J30"/>
    <mergeCell ref="C44:J44"/>
    <mergeCell ref="C45:J45"/>
    <mergeCell ref="C46:J46"/>
    <mergeCell ref="C38:J38"/>
    <mergeCell ref="C39:J39"/>
    <mergeCell ref="C40:J40"/>
    <mergeCell ref="C41:J41"/>
    <mergeCell ref="C42:J42"/>
    <mergeCell ref="C43:J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90"/>
  <sheetViews>
    <sheetView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32" sqref="O32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00390625" style="26" customWidth="1"/>
    <col min="4" max="7" width="9.8515625" style="0" customWidth="1"/>
    <col min="8" max="8" width="9.57421875" style="0" customWidth="1"/>
    <col min="9" max="9" width="10.2812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customWidth="1"/>
    <col min="30" max="41" width="9.28125" style="0" customWidth="1"/>
    <col min="42" max="42" width="10.00390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13"/>
      <c r="B6" s="37" t="s">
        <v>132</v>
      </c>
      <c r="C6" s="29"/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29" t="s">
        <v>50</v>
      </c>
      <c r="M6" s="29" t="s">
        <v>51</v>
      </c>
      <c r="N6" s="29" t="s">
        <v>52</v>
      </c>
      <c r="O6" s="29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30" t="s">
        <v>45</v>
      </c>
      <c r="U6" s="30" t="s">
        <v>46</v>
      </c>
      <c r="V6" s="30" t="s">
        <v>47</v>
      </c>
      <c r="W6" s="30" t="s">
        <v>48</v>
      </c>
      <c r="X6" s="30" t="s">
        <v>49</v>
      </c>
      <c r="Y6" s="30" t="s">
        <v>50</v>
      </c>
      <c r="Z6" s="30" t="s">
        <v>51</v>
      </c>
      <c r="AA6" s="30" t="s">
        <v>52</v>
      </c>
      <c r="AB6" s="30" t="s">
        <v>53</v>
      </c>
      <c r="AC6" s="82" t="s">
        <v>54</v>
      </c>
      <c r="AD6" s="81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82" t="s">
        <v>54</v>
      </c>
      <c r="AQ6" s="85"/>
    </row>
    <row r="7" spans="1:43" s="35" customFormat="1" ht="12" customHeight="1">
      <c r="A7" s="42">
        <v>1</v>
      </c>
      <c r="B7" s="7" t="s">
        <v>133</v>
      </c>
      <c r="C7" s="129">
        <v>522.2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>
        <v>6240</v>
      </c>
      <c r="P7" s="194">
        <f>SUM(D7:O7)</f>
        <v>6240</v>
      </c>
      <c r="Q7" s="127">
        <f aca="true" t="shared" si="0" ref="Q7:Q31">C7*593690.15/479520.23</f>
        <v>646.5316308552823</v>
      </c>
      <c r="R7" s="125">
        <f aca="true" t="shared" si="1" ref="R7:R31">C7*593686.15/479517.01</f>
        <v>646.5316163236838</v>
      </c>
      <c r="S7" s="125">
        <f aca="true" t="shared" si="2" ref="S7:S31">C7*579500.06/479514.61</f>
        <v>631.0859461237272</v>
      </c>
      <c r="T7" s="125">
        <f aca="true" t="shared" si="3" ref="T7:T31">C7*593938.3/479720.67</f>
        <v>646.5316165342637</v>
      </c>
      <c r="U7" s="125">
        <f aca="true" t="shared" si="4" ref="U7:U31">C7*576132.29/479725.57</f>
        <v>627.1424761410989</v>
      </c>
      <c r="V7" s="125">
        <f>C7*593946.23/479729.4</f>
        <v>646.5284831532109</v>
      </c>
      <c r="W7" s="125">
        <f>C7*594015.27/479782.82</f>
        <v>646.5316411162868</v>
      </c>
      <c r="X7" s="125">
        <f aca="true" t="shared" si="5" ref="X7:X31">C7*594005.55/479774.98</f>
        <v>646.5316265762755</v>
      </c>
      <c r="Y7" s="125">
        <f aca="true" t="shared" si="6" ref="Y7:Y31">C7*585421.9/479766.08</f>
        <v>637.2007712175068</v>
      </c>
      <c r="Z7" s="125">
        <f aca="true" t="shared" si="7" ref="Z7:Z31">C7*572643.93/479776.28</f>
        <v>623.2793756414969</v>
      </c>
      <c r="AA7" s="125">
        <f aca="true" t="shared" si="8" ref="AA7:AA31">C7*588687.52/475479.64</f>
        <v>646.5316221405401</v>
      </c>
      <c r="AB7" s="125">
        <f aca="true" t="shared" si="9" ref="AB7:AB31">C7*577403.59/475489.94</f>
        <v>634.125202939099</v>
      </c>
      <c r="AC7" s="195">
        <f>SUM(Q7:AB7)</f>
        <v>7678.552008762473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0</v>
      </c>
      <c r="AQ7" s="197">
        <f>P7+AC7+AP7</f>
        <v>13918.552008762472</v>
      </c>
    </row>
    <row r="8" spans="1:43" s="35" customFormat="1" ht="12" customHeight="1">
      <c r="A8" s="42">
        <v>2</v>
      </c>
      <c r="B8" s="9" t="s">
        <v>134</v>
      </c>
      <c r="C8" s="129">
        <v>508.8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>
        <v>6240</v>
      </c>
      <c r="P8" s="194">
        <f aca="true" t="shared" si="10" ref="P8:P31">SUM(D8:O8)</f>
        <v>6240</v>
      </c>
      <c r="Q8" s="127">
        <f t="shared" si="0"/>
        <v>629.9411983515273</v>
      </c>
      <c r="R8" s="125">
        <f t="shared" si="1"/>
        <v>629.9411841928194</v>
      </c>
      <c r="S8" s="125">
        <f t="shared" si="2"/>
        <v>614.8918601833635</v>
      </c>
      <c r="T8" s="125">
        <f t="shared" si="3"/>
        <v>629.9411843979957</v>
      </c>
      <c r="U8" s="125">
        <f t="shared" si="4"/>
        <v>611.0495822684624</v>
      </c>
      <c r="V8" s="125">
        <f aca="true" t="shared" si="11" ref="V8:V31">C8*593946.23/479729.4</f>
        <v>629.9381314215889</v>
      </c>
      <c r="W8" s="125">
        <f aca="true" t="shared" si="12" ref="W8:W31">C8*594015.27/479782.82</f>
        <v>629.9412083492276</v>
      </c>
      <c r="X8" s="125">
        <f t="shared" si="5"/>
        <v>629.9411941823228</v>
      </c>
      <c r="Y8" s="125">
        <f t="shared" si="6"/>
        <v>620.8497747902478</v>
      </c>
      <c r="Z8" s="125">
        <f t="shared" si="7"/>
        <v>607.2856115020943</v>
      </c>
      <c r="AA8" s="125">
        <f t="shared" si="8"/>
        <v>629.9411898604112</v>
      </c>
      <c r="AB8" s="125">
        <f t="shared" si="9"/>
        <v>617.8531276434576</v>
      </c>
      <c r="AC8" s="195">
        <f aca="true" t="shared" si="13" ref="AC8:AC31">SUM(Q8:AB8)</f>
        <v>7481.5152471435185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aca="true" t="shared" si="14" ref="AP8:AP31">SUM(AD8:AO8)</f>
        <v>0</v>
      </c>
      <c r="AQ8" s="197">
        <f aca="true" t="shared" si="15" ref="AQ8:AQ31">P8+AC8+AP8</f>
        <v>13721.515247143518</v>
      </c>
    </row>
    <row r="9" spans="1:43" s="35" customFormat="1" ht="12" customHeight="1">
      <c r="A9" s="42">
        <v>3</v>
      </c>
      <c r="B9" s="9" t="s">
        <v>135</v>
      </c>
      <c r="C9" s="129">
        <v>531.5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>
        <v>6240</v>
      </c>
      <c r="P9" s="194">
        <f t="shared" si="10"/>
        <v>6240</v>
      </c>
      <c r="Q9" s="127">
        <f t="shared" si="0"/>
        <v>658.0458862496793</v>
      </c>
      <c r="R9" s="125">
        <f t="shared" si="1"/>
        <v>658.0458714592836</v>
      </c>
      <c r="S9" s="125">
        <f t="shared" si="2"/>
        <v>642.3251251718901</v>
      </c>
      <c r="T9" s="125">
        <f t="shared" si="3"/>
        <v>658.0458716736139</v>
      </c>
      <c r="U9" s="125">
        <f t="shared" si="4"/>
        <v>638.3114248736001</v>
      </c>
      <c r="V9" s="125">
        <f t="shared" si="11"/>
        <v>658.0426824893367</v>
      </c>
      <c r="W9" s="125">
        <f t="shared" si="12"/>
        <v>658.0458966934248</v>
      </c>
      <c r="X9" s="125">
        <f t="shared" si="5"/>
        <v>658.0458818944666</v>
      </c>
      <c r="Y9" s="125">
        <f t="shared" si="6"/>
        <v>648.5488508274699</v>
      </c>
      <c r="Z9" s="125">
        <f t="shared" si="7"/>
        <v>634.3795253800375</v>
      </c>
      <c r="AA9" s="125">
        <f t="shared" si="8"/>
        <v>658.0458773797338</v>
      </c>
      <c r="AB9" s="125">
        <f t="shared" si="9"/>
        <v>645.418508927865</v>
      </c>
      <c r="AC9" s="195">
        <f t="shared" si="13"/>
        <v>7815.301403020401</v>
      </c>
      <c r="AD9" s="127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 t="shared" si="14"/>
        <v>0</v>
      </c>
      <c r="AQ9" s="197">
        <f t="shared" si="15"/>
        <v>14055.301403020401</v>
      </c>
    </row>
    <row r="10" spans="1:43" s="35" customFormat="1" ht="12" customHeight="1">
      <c r="A10" s="42">
        <v>4</v>
      </c>
      <c r="B10" s="9" t="s">
        <v>136</v>
      </c>
      <c r="C10" s="129">
        <v>523.6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>
        <v>6240</v>
      </c>
      <c r="P10" s="194">
        <f t="shared" si="10"/>
        <v>6240</v>
      </c>
      <c r="Q10" s="127">
        <f t="shared" si="0"/>
        <v>648.2649596243313</v>
      </c>
      <c r="R10" s="125">
        <f t="shared" si="1"/>
        <v>648.2649450537741</v>
      </c>
      <c r="S10" s="125">
        <f t="shared" si="2"/>
        <v>632.7778655503324</v>
      </c>
      <c r="T10" s="125">
        <f t="shared" si="3"/>
        <v>648.2649452649185</v>
      </c>
      <c r="U10" s="125">
        <f t="shared" si="4"/>
        <v>628.8238232621205</v>
      </c>
      <c r="V10" s="125">
        <f t="shared" si="11"/>
        <v>648.2618034833804</v>
      </c>
      <c r="W10" s="125">
        <f t="shared" si="12"/>
        <v>648.2649699128452</v>
      </c>
      <c r="X10" s="125">
        <f t="shared" si="5"/>
        <v>648.2649553338526</v>
      </c>
      <c r="Y10" s="125">
        <f t="shared" si="6"/>
        <v>638.9090842770711</v>
      </c>
      <c r="Z10" s="125">
        <f t="shared" si="7"/>
        <v>624.9503659247181</v>
      </c>
      <c r="AA10" s="125">
        <f t="shared" si="8"/>
        <v>648.264950886225</v>
      </c>
      <c r="AB10" s="125">
        <f t="shared" si="9"/>
        <v>635.8252705073003</v>
      </c>
      <c r="AC10" s="195">
        <f t="shared" si="13"/>
        <v>7699.13793908087</v>
      </c>
      <c r="AD10" s="127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0</v>
      </c>
      <c r="AQ10" s="197">
        <f t="shared" si="15"/>
        <v>13939.137939080869</v>
      </c>
    </row>
    <row r="11" spans="1:43" s="35" customFormat="1" ht="12" customHeight="1">
      <c r="A11" s="42">
        <v>5</v>
      </c>
      <c r="B11" s="9" t="s">
        <v>137</v>
      </c>
      <c r="C11" s="129">
        <v>95.1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94">
        <f t="shared" si="10"/>
        <v>0</v>
      </c>
      <c r="Q11" s="127">
        <f t="shared" si="0"/>
        <v>117.74254709754373</v>
      </c>
      <c r="R11" s="125">
        <f t="shared" si="1"/>
        <v>117.74254445113428</v>
      </c>
      <c r="S11" s="125">
        <f t="shared" si="2"/>
        <v>114.92966962153666</v>
      </c>
      <c r="T11" s="125">
        <f t="shared" si="3"/>
        <v>117.74254448948385</v>
      </c>
      <c r="U11" s="125">
        <f t="shared" si="4"/>
        <v>114.21150800654632</v>
      </c>
      <c r="V11" s="125">
        <f t="shared" si="11"/>
        <v>117.74197385651159</v>
      </c>
      <c r="W11" s="125">
        <f t="shared" si="12"/>
        <v>117.74254896621767</v>
      </c>
      <c r="X11" s="125">
        <f t="shared" si="5"/>
        <v>117.74254631827613</v>
      </c>
      <c r="Y11" s="125">
        <f t="shared" si="6"/>
        <v>116.04326568897909</v>
      </c>
      <c r="Z11" s="125">
        <f t="shared" si="7"/>
        <v>113.50798281023813</v>
      </c>
      <c r="AA11" s="125">
        <f t="shared" si="8"/>
        <v>117.742545510466</v>
      </c>
      <c r="AB11" s="125">
        <f t="shared" si="9"/>
        <v>115.48316123996229</v>
      </c>
      <c r="AC11" s="195">
        <f t="shared" si="13"/>
        <v>1398.3728380568957</v>
      </c>
      <c r="AD11" s="127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0</v>
      </c>
      <c r="AQ11" s="197">
        <f t="shared" si="15"/>
        <v>1398.3728380568957</v>
      </c>
    </row>
    <row r="12" spans="1:43" s="35" customFormat="1" ht="12" customHeight="1">
      <c r="A12" s="42">
        <v>6</v>
      </c>
      <c r="B12" s="9" t="s">
        <v>138</v>
      </c>
      <c r="C12" s="129">
        <v>516.1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>
        <v>6240</v>
      </c>
      <c r="P12" s="194">
        <f t="shared" si="10"/>
        <v>6240</v>
      </c>
      <c r="Q12" s="127">
        <f t="shared" si="0"/>
        <v>638.97926979014</v>
      </c>
      <c r="R12" s="125">
        <f t="shared" si="1"/>
        <v>638.9792554282903</v>
      </c>
      <c r="S12" s="125">
        <f t="shared" si="2"/>
        <v>623.7140114792332</v>
      </c>
      <c r="T12" s="125">
        <f t="shared" si="3"/>
        <v>638.9792556364104</v>
      </c>
      <c r="U12" s="125">
        <f t="shared" si="4"/>
        <v>619.8166065423613</v>
      </c>
      <c r="V12" s="125">
        <f t="shared" si="11"/>
        <v>638.9761588574726</v>
      </c>
      <c r="W12" s="125">
        <f t="shared" si="12"/>
        <v>638.9792799312822</v>
      </c>
      <c r="X12" s="125">
        <f t="shared" si="5"/>
        <v>638.9792655611179</v>
      </c>
      <c r="Y12" s="125">
        <f t="shared" si="6"/>
        <v>629.757407172262</v>
      </c>
      <c r="Z12" s="125">
        <f t="shared" si="7"/>
        <v>615.9986322646048</v>
      </c>
      <c r="AA12" s="125">
        <f t="shared" si="8"/>
        <v>638.9792611771978</v>
      </c>
      <c r="AB12" s="125">
        <f t="shared" si="9"/>
        <v>626.7177656776504</v>
      </c>
      <c r="AC12" s="195">
        <f t="shared" si="13"/>
        <v>7588.856169518023</v>
      </c>
      <c r="AD12" s="127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95">
        <f t="shared" si="14"/>
        <v>0</v>
      </c>
      <c r="AQ12" s="197">
        <f t="shared" si="15"/>
        <v>13828.856169518023</v>
      </c>
    </row>
    <row r="13" spans="1:43" s="35" customFormat="1" ht="12" customHeight="1">
      <c r="A13" s="42">
        <v>7</v>
      </c>
      <c r="B13" s="9" t="s">
        <v>139</v>
      </c>
      <c r="C13" s="129">
        <v>1474</v>
      </c>
      <c r="D13" s="125"/>
      <c r="E13" s="125"/>
      <c r="F13" s="125">
        <f>5164.43</f>
        <v>5164.43</v>
      </c>
      <c r="G13" s="125"/>
      <c r="H13" s="125"/>
      <c r="I13" s="125"/>
      <c r="J13" s="125"/>
      <c r="K13" s="125"/>
      <c r="L13" s="125"/>
      <c r="M13" s="125"/>
      <c r="N13" s="125"/>
      <c r="O13" s="125">
        <f>706.49+6240</f>
        <v>6946.49</v>
      </c>
      <c r="P13" s="194">
        <f t="shared" si="10"/>
        <v>12110.92</v>
      </c>
      <c r="Q13" s="127">
        <f t="shared" si="0"/>
        <v>1824.9475754130333</v>
      </c>
      <c r="R13" s="125">
        <f t="shared" si="1"/>
        <v>1824.947534395078</v>
      </c>
      <c r="S13" s="125">
        <f t="shared" si="2"/>
        <v>1781.349453440011</v>
      </c>
      <c r="T13" s="125">
        <f t="shared" si="3"/>
        <v>1824.9475349894765</v>
      </c>
      <c r="U13" s="125">
        <f t="shared" si="4"/>
        <v>1770.218325990003</v>
      </c>
      <c r="V13" s="125">
        <f t="shared" si="11"/>
        <v>1824.9386904784237</v>
      </c>
      <c r="W13" s="125">
        <f t="shared" si="12"/>
        <v>1824.9476043764969</v>
      </c>
      <c r="X13" s="125">
        <f t="shared" si="5"/>
        <v>1824.9475633347952</v>
      </c>
      <c r="Y13" s="125">
        <f t="shared" si="6"/>
        <v>1798.6096069984771</v>
      </c>
      <c r="Z13" s="125">
        <f t="shared" si="7"/>
        <v>1759.3140553342903</v>
      </c>
      <c r="AA13" s="125">
        <f t="shared" si="8"/>
        <v>1824.9475508141632</v>
      </c>
      <c r="AB13" s="125">
        <f t="shared" si="9"/>
        <v>1789.9282825205512</v>
      </c>
      <c r="AC13" s="195">
        <f t="shared" si="13"/>
        <v>21674.0437780848</v>
      </c>
      <c r="AD13" s="127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95">
        <f t="shared" si="14"/>
        <v>0</v>
      </c>
      <c r="AQ13" s="197">
        <f t="shared" si="15"/>
        <v>33784.9637780848</v>
      </c>
    </row>
    <row r="14" spans="1:43" s="35" customFormat="1" ht="12" customHeight="1">
      <c r="A14" s="42">
        <v>8</v>
      </c>
      <c r="B14" s="9" t="s">
        <v>140</v>
      </c>
      <c r="C14" s="129">
        <v>521.4</v>
      </c>
      <c r="D14" s="130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94">
        <f t="shared" si="10"/>
        <v>0</v>
      </c>
      <c r="Q14" s="127">
        <f t="shared" si="0"/>
        <v>645.5411572729685</v>
      </c>
      <c r="R14" s="125">
        <f t="shared" si="1"/>
        <v>645.5411427636321</v>
      </c>
      <c r="S14" s="125">
        <f t="shared" si="2"/>
        <v>630.1191350228099</v>
      </c>
      <c r="T14" s="125">
        <f t="shared" si="3"/>
        <v>645.5411429738894</v>
      </c>
      <c r="U14" s="125">
        <f t="shared" si="4"/>
        <v>626.1817063576577</v>
      </c>
      <c r="V14" s="125">
        <f t="shared" si="11"/>
        <v>645.538014393114</v>
      </c>
      <c r="W14" s="125">
        <f t="shared" si="12"/>
        <v>645.5411675182534</v>
      </c>
      <c r="X14" s="125">
        <f t="shared" si="5"/>
        <v>645.5411530005172</v>
      </c>
      <c r="Y14" s="125">
        <f t="shared" si="6"/>
        <v>636.2245923263271</v>
      </c>
      <c r="Z14" s="125">
        <f t="shared" si="7"/>
        <v>622.3245240510847</v>
      </c>
      <c r="AA14" s="125">
        <f t="shared" si="8"/>
        <v>645.5411485715771</v>
      </c>
      <c r="AB14" s="125">
        <f t="shared" si="9"/>
        <v>633.1537357572696</v>
      </c>
      <c r="AC14" s="195">
        <f t="shared" si="13"/>
        <v>7666.788620009101</v>
      </c>
      <c r="AD14" s="127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95">
        <f t="shared" si="14"/>
        <v>0</v>
      </c>
      <c r="AQ14" s="197">
        <f t="shared" si="15"/>
        <v>7666.788620009101</v>
      </c>
    </row>
    <row r="15" spans="1:43" s="35" customFormat="1" ht="12" customHeight="1">
      <c r="A15" s="42">
        <v>9</v>
      </c>
      <c r="B15" s="9" t="s">
        <v>141</v>
      </c>
      <c r="C15" s="123">
        <v>3440.9</v>
      </c>
      <c r="D15" s="125"/>
      <c r="E15" s="125"/>
      <c r="F15" s="125">
        <v>5164.43</v>
      </c>
      <c r="G15" s="125"/>
      <c r="H15" s="125"/>
      <c r="I15" s="125"/>
      <c r="J15" s="125">
        <v>4110.06</v>
      </c>
      <c r="K15" s="125"/>
      <c r="L15" s="125"/>
      <c r="M15" s="125"/>
      <c r="N15" s="125">
        <v>2938.43</v>
      </c>
      <c r="O15" s="125">
        <f>885.23+6240</f>
        <v>7125.23</v>
      </c>
      <c r="P15" s="194">
        <f t="shared" si="10"/>
        <v>19338.15</v>
      </c>
      <c r="Q15" s="127">
        <f t="shared" si="0"/>
        <v>4260.150686729109</v>
      </c>
      <c r="R15" s="125">
        <f t="shared" si="1"/>
        <v>4260.15059097695</v>
      </c>
      <c r="S15" s="125">
        <f t="shared" si="2"/>
        <v>4158.375396432656</v>
      </c>
      <c r="T15" s="125">
        <f t="shared" si="3"/>
        <v>4260.150592364512</v>
      </c>
      <c r="U15" s="125">
        <f t="shared" si="4"/>
        <v>4132.390934802579</v>
      </c>
      <c r="V15" s="125">
        <f t="shared" si="11"/>
        <v>4260.129945771511</v>
      </c>
      <c r="W15" s="125">
        <f t="shared" si="12"/>
        <v>4260.150754341308</v>
      </c>
      <c r="X15" s="125">
        <f t="shared" si="5"/>
        <v>4260.150658533716</v>
      </c>
      <c r="Y15" s="125">
        <f t="shared" si="6"/>
        <v>4198.667433325007</v>
      </c>
      <c r="Z15" s="125">
        <f t="shared" si="7"/>
        <v>4106.9360468112345</v>
      </c>
      <c r="AA15" s="125">
        <f t="shared" si="8"/>
        <v>4260.1506293056</v>
      </c>
      <c r="AB15" s="125">
        <f t="shared" si="9"/>
        <v>4178.401782445701</v>
      </c>
      <c r="AC15" s="195">
        <f t="shared" si="13"/>
        <v>50595.80545183988</v>
      </c>
      <c r="AD15" s="127"/>
      <c r="AE15" s="125"/>
      <c r="AF15" s="125"/>
      <c r="AG15" s="125"/>
      <c r="AH15" s="125"/>
      <c r="AI15" s="125">
        <v>7302.77</v>
      </c>
      <c r="AJ15" s="125"/>
      <c r="AK15" s="125"/>
      <c r="AL15" s="125"/>
      <c r="AM15" s="125"/>
      <c r="AN15" s="125"/>
      <c r="AO15" s="125"/>
      <c r="AP15" s="195">
        <f t="shared" si="14"/>
        <v>7302.77</v>
      </c>
      <c r="AQ15" s="197">
        <f t="shared" si="15"/>
        <v>77236.72545183988</v>
      </c>
    </row>
    <row r="16" spans="1:43" s="35" customFormat="1" ht="12" customHeight="1">
      <c r="A16" s="42">
        <v>10</v>
      </c>
      <c r="B16" s="9" t="s">
        <v>142</v>
      </c>
      <c r="C16" s="123">
        <v>3469.3</v>
      </c>
      <c r="D16" s="125"/>
      <c r="E16" s="125"/>
      <c r="F16" s="125">
        <f>7818.75+5164.43</f>
        <v>12983.18</v>
      </c>
      <c r="G16" s="125"/>
      <c r="H16" s="125"/>
      <c r="I16" s="125"/>
      <c r="J16" s="125"/>
      <c r="K16" s="125"/>
      <c r="L16" s="125"/>
      <c r="M16" s="125"/>
      <c r="N16" s="125"/>
      <c r="O16" s="125">
        <f>913.32+6240</f>
        <v>7153.32</v>
      </c>
      <c r="P16" s="194">
        <f t="shared" si="10"/>
        <v>20136.5</v>
      </c>
      <c r="Q16" s="127">
        <f t="shared" si="0"/>
        <v>4295.312498901246</v>
      </c>
      <c r="R16" s="125">
        <f t="shared" si="1"/>
        <v>4295.3124023587825</v>
      </c>
      <c r="S16" s="125">
        <f t="shared" si="2"/>
        <v>4192.697190515218</v>
      </c>
      <c r="T16" s="125">
        <f t="shared" si="3"/>
        <v>4295.312403757796</v>
      </c>
      <c r="U16" s="125">
        <f t="shared" si="4"/>
        <v>4166.498262114734</v>
      </c>
      <c r="V16" s="125">
        <f t="shared" si="11"/>
        <v>4295.29158675495</v>
      </c>
      <c r="W16" s="125">
        <f t="shared" si="12"/>
        <v>4295.3125670714935</v>
      </c>
      <c r="X16" s="125">
        <f t="shared" si="5"/>
        <v>4295.312470473138</v>
      </c>
      <c r="Y16" s="125">
        <f t="shared" si="6"/>
        <v>4233.321783961884</v>
      </c>
      <c r="Z16" s="125">
        <f t="shared" si="7"/>
        <v>4140.833278270864</v>
      </c>
      <c r="AA16" s="125">
        <f t="shared" si="8"/>
        <v>4295.3124410037835</v>
      </c>
      <c r="AB16" s="125">
        <f t="shared" si="9"/>
        <v>4212.888867400644</v>
      </c>
      <c r="AC16" s="195">
        <f t="shared" si="13"/>
        <v>51013.40575258454</v>
      </c>
      <c r="AD16" s="127"/>
      <c r="AE16" s="125">
        <f>7302.77</f>
        <v>7302.77</v>
      </c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95">
        <f t="shared" si="14"/>
        <v>7302.77</v>
      </c>
      <c r="AQ16" s="197">
        <f t="shared" si="15"/>
        <v>78452.67575258455</v>
      </c>
    </row>
    <row r="17" spans="1:43" s="35" customFormat="1" ht="12" customHeight="1">
      <c r="A17" s="42">
        <v>11</v>
      </c>
      <c r="B17" s="9" t="s">
        <v>143</v>
      </c>
      <c r="C17" s="123">
        <v>4256.6</v>
      </c>
      <c r="D17" s="125"/>
      <c r="E17" s="125"/>
      <c r="F17" s="125">
        <f>5164.43</f>
        <v>5164.43</v>
      </c>
      <c r="G17" s="125"/>
      <c r="H17" s="125"/>
      <c r="I17" s="125"/>
      <c r="J17" s="125"/>
      <c r="K17" s="125"/>
      <c r="L17" s="125"/>
      <c r="M17" s="125"/>
      <c r="N17" s="125"/>
      <c r="O17" s="125">
        <v>706.49</v>
      </c>
      <c r="P17" s="194">
        <f t="shared" si="10"/>
        <v>5870.92</v>
      </c>
      <c r="Q17" s="127">
        <f t="shared" si="0"/>
        <v>5270.062313095738</v>
      </c>
      <c r="R17" s="125">
        <f t="shared" si="1"/>
        <v>5270.062194644565</v>
      </c>
      <c r="S17" s="125">
        <f t="shared" si="2"/>
        <v>5144.160165205395</v>
      </c>
      <c r="T17" s="125">
        <f t="shared" si="3"/>
        <v>5270.062196361062</v>
      </c>
      <c r="U17" s="125">
        <f t="shared" si="4"/>
        <v>5112.015825243588</v>
      </c>
      <c r="V17" s="125">
        <f t="shared" si="11"/>
        <v>5270.03665528525</v>
      </c>
      <c r="W17" s="125">
        <f t="shared" si="12"/>
        <v>5270.06239673609</v>
      </c>
      <c r="X17" s="125">
        <f t="shared" si="5"/>
        <v>5270.062278216344</v>
      </c>
      <c r="Y17" s="125">
        <f t="shared" si="6"/>
        <v>5194.003835244043</v>
      </c>
      <c r="Z17" s="125">
        <f t="shared" si="7"/>
        <v>5080.52659968517</v>
      </c>
      <c r="AA17" s="125">
        <f t="shared" si="8"/>
        <v>5270.062242059408</v>
      </c>
      <c r="AB17" s="125">
        <f t="shared" si="9"/>
        <v>5168.93400771844</v>
      </c>
      <c r="AC17" s="195">
        <f t="shared" si="13"/>
        <v>62590.05070949509</v>
      </c>
      <c r="AD17" s="127"/>
      <c r="AE17" s="125">
        <f>9128.47</f>
        <v>9128.47</v>
      </c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95">
        <f t="shared" si="14"/>
        <v>9128.47</v>
      </c>
      <c r="AQ17" s="197">
        <f t="shared" si="15"/>
        <v>77589.44070949509</v>
      </c>
    </row>
    <row r="18" spans="1:43" s="35" customFormat="1" ht="12" customHeight="1">
      <c r="A18" s="42">
        <v>12</v>
      </c>
      <c r="B18" s="9" t="s">
        <v>144</v>
      </c>
      <c r="C18" s="123">
        <v>1892.55</v>
      </c>
      <c r="D18" s="125">
        <v>3797.47</v>
      </c>
      <c r="E18" s="125"/>
      <c r="F18" s="125">
        <f>7818.75+5164.43</f>
        <v>12983.18</v>
      </c>
      <c r="G18" s="125"/>
      <c r="H18" s="125"/>
      <c r="I18" s="125"/>
      <c r="J18" s="125"/>
      <c r="K18" s="125"/>
      <c r="L18" s="125"/>
      <c r="M18" s="125"/>
      <c r="N18" s="125"/>
      <c r="O18" s="125">
        <v>6240</v>
      </c>
      <c r="P18" s="194">
        <f t="shared" si="10"/>
        <v>23020.65</v>
      </c>
      <c r="Q18" s="127">
        <f t="shared" si="0"/>
        <v>2343.1509727597936</v>
      </c>
      <c r="R18" s="125">
        <f t="shared" si="1"/>
        <v>2343.150920094576</v>
      </c>
      <c r="S18" s="125">
        <f t="shared" si="2"/>
        <v>2287.172936301148</v>
      </c>
      <c r="T18" s="125">
        <f t="shared" si="3"/>
        <v>2343.150920857757</v>
      </c>
      <c r="U18" s="125">
        <f t="shared" si="4"/>
        <v>2272.88106706403</v>
      </c>
      <c r="V18" s="125">
        <f t="shared" si="11"/>
        <v>2343.139564901588</v>
      </c>
      <c r="W18" s="125">
        <f t="shared" si="12"/>
        <v>2343.1510099475845</v>
      </c>
      <c r="X18" s="125">
        <f t="shared" si="5"/>
        <v>2343.150957251877</v>
      </c>
      <c r="Y18" s="125">
        <f t="shared" si="6"/>
        <v>2309.3342006275225</v>
      </c>
      <c r="Z18" s="125">
        <f t="shared" si="7"/>
        <v>2258.88047179302</v>
      </c>
      <c r="AA18" s="125">
        <f t="shared" si="8"/>
        <v>2343.150941175946</v>
      </c>
      <c r="AB18" s="125">
        <f t="shared" si="9"/>
        <v>2298.1877687138867</v>
      </c>
      <c r="AC18" s="195">
        <f t="shared" si="13"/>
        <v>27828.501731488734</v>
      </c>
      <c r="AD18" s="127">
        <f>4564.24</f>
        <v>4564.24</v>
      </c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95">
        <f t="shared" si="14"/>
        <v>4564.24</v>
      </c>
      <c r="AQ18" s="197">
        <f t="shared" si="15"/>
        <v>55413.39173148873</v>
      </c>
    </row>
    <row r="19" spans="1:43" s="35" customFormat="1" ht="12" customHeight="1">
      <c r="A19" s="42">
        <v>13</v>
      </c>
      <c r="B19" s="9" t="s">
        <v>145</v>
      </c>
      <c r="C19" s="123">
        <v>4290.7</v>
      </c>
      <c r="D19" s="125"/>
      <c r="E19" s="125"/>
      <c r="F19" s="125">
        <f>5164.43</f>
        <v>5164.43</v>
      </c>
      <c r="G19" s="125"/>
      <c r="H19" s="125"/>
      <c r="I19" s="125"/>
      <c r="J19" s="125"/>
      <c r="K19" s="125"/>
      <c r="L19" s="125"/>
      <c r="M19" s="125"/>
      <c r="N19" s="125"/>
      <c r="O19" s="125">
        <v>1329.72</v>
      </c>
      <c r="P19" s="194">
        <f t="shared" si="10"/>
        <v>6494.150000000001</v>
      </c>
      <c r="Q19" s="127">
        <f t="shared" si="0"/>
        <v>5312.28124954186</v>
      </c>
      <c r="R19" s="125">
        <f t="shared" si="1"/>
        <v>5312.281130141764</v>
      </c>
      <c r="S19" s="125">
        <f t="shared" si="2"/>
        <v>5185.370488381991</v>
      </c>
      <c r="T19" s="125">
        <f t="shared" si="3"/>
        <v>5312.281131872012</v>
      </c>
      <c r="U19" s="125">
        <f t="shared" si="4"/>
        <v>5152.968637262758</v>
      </c>
      <c r="V19" s="125">
        <f t="shared" si="11"/>
        <v>5312.255386184377</v>
      </c>
      <c r="W19" s="125">
        <f t="shared" si="12"/>
        <v>5312.281333852262</v>
      </c>
      <c r="X19" s="125">
        <f t="shared" si="5"/>
        <v>5312.281214383043</v>
      </c>
      <c r="Y19" s="125">
        <f t="shared" si="6"/>
        <v>5235.613460480574</v>
      </c>
      <c r="Z19" s="125">
        <f t="shared" si="7"/>
        <v>5121.227148726486</v>
      </c>
      <c r="AA19" s="125">
        <f t="shared" si="8"/>
        <v>5312.281177936452</v>
      </c>
      <c r="AB19" s="125">
        <f t="shared" si="9"/>
        <v>5210.342796343914</v>
      </c>
      <c r="AC19" s="195">
        <f t="shared" si="13"/>
        <v>63091.46515510749</v>
      </c>
      <c r="AD19" s="127"/>
      <c r="AE19" s="125"/>
      <c r="AF19" s="125"/>
      <c r="AG19" s="125"/>
      <c r="AH19" s="125"/>
      <c r="AI19" s="125"/>
      <c r="AJ19" s="125">
        <v>9128.47</v>
      </c>
      <c r="AK19" s="125"/>
      <c r="AL19" s="125"/>
      <c r="AM19" s="125"/>
      <c r="AN19" s="125"/>
      <c r="AO19" s="125"/>
      <c r="AP19" s="195">
        <f t="shared" si="14"/>
        <v>9128.47</v>
      </c>
      <c r="AQ19" s="197">
        <f t="shared" si="15"/>
        <v>78714.08515510749</v>
      </c>
    </row>
    <row r="20" spans="1:43" s="35" customFormat="1" ht="12" customHeight="1">
      <c r="A20" s="42">
        <v>14</v>
      </c>
      <c r="B20" s="9" t="s">
        <v>146</v>
      </c>
      <c r="C20" s="129">
        <v>1239</v>
      </c>
      <c r="D20" s="125"/>
      <c r="E20" s="125"/>
      <c r="F20" s="125">
        <v>5164.43</v>
      </c>
      <c r="G20" s="125"/>
      <c r="H20" s="125"/>
      <c r="I20" s="125"/>
      <c r="J20" s="125"/>
      <c r="K20" s="125"/>
      <c r="L20" s="125"/>
      <c r="M20" s="125"/>
      <c r="N20" s="125"/>
      <c r="O20" s="125">
        <v>6240</v>
      </c>
      <c r="P20" s="194">
        <f t="shared" si="10"/>
        <v>11404.43</v>
      </c>
      <c r="Q20" s="127">
        <f t="shared" si="0"/>
        <v>1533.9959606083773</v>
      </c>
      <c r="R20" s="125">
        <f t="shared" si="1"/>
        <v>1533.9959261299198</v>
      </c>
      <c r="S20" s="125">
        <f t="shared" si="2"/>
        <v>1497.3486925455725</v>
      </c>
      <c r="T20" s="125">
        <f t="shared" si="3"/>
        <v>1533.9959266295532</v>
      </c>
      <c r="U20" s="125">
        <f t="shared" si="4"/>
        <v>1487.9922021042157</v>
      </c>
      <c r="V20" s="125">
        <f t="shared" si="11"/>
        <v>1533.9884921999778</v>
      </c>
      <c r="W20" s="125">
        <f t="shared" si="12"/>
        <v>1533.9959849541924</v>
      </c>
      <c r="X20" s="125">
        <f t="shared" si="5"/>
        <v>1533.9959504557742</v>
      </c>
      <c r="Y20" s="125">
        <f t="shared" si="6"/>
        <v>1511.8570577144594</v>
      </c>
      <c r="Z20" s="125">
        <f t="shared" si="7"/>
        <v>1478.8264006507368</v>
      </c>
      <c r="AA20" s="125">
        <f t="shared" si="8"/>
        <v>1533.995939931308</v>
      </c>
      <c r="AB20" s="125">
        <f t="shared" si="9"/>
        <v>1504.5597978581839</v>
      </c>
      <c r="AC20" s="195">
        <f t="shared" si="13"/>
        <v>18218.54833178227</v>
      </c>
      <c r="AD20" s="127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95">
        <f t="shared" si="14"/>
        <v>0</v>
      </c>
      <c r="AQ20" s="197">
        <f t="shared" si="15"/>
        <v>29622.97833178227</v>
      </c>
    </row>
    <row r="21" spans="1:43" s="35" customFormat="1" ht="12" customHeight="1">
      <c r="A21" s="42">
        <v>15</v>
      </c>
      <c r="B21" s="9" t="s">
        <v>147</v>
      </c>
      <c r="C21" s="123">
        <v>4627.47</v>
      </c>
      <c r="D21" s="125"/>
      <c r="E21" s="125"/>
      <c r="F21" s="125">
        <v>5164.43</v>
      </c>
      <c r="G21" s="125"/>
      <c r="H21" s="125"/>
      <c r="I21" s="125"/>
      <c r="J21" s="125">
        <v>8220.12</v>
      </c>
      <c r="K21" s="125"/>
      <c r="L21" s="125"/>
      <c r="M21" s="125"/>
      <c r="N21" s="125"/>
      <c r="O21" s="125">
        <v>12480</v>
      </c>
      <c r="P21" s="194">
        <f t="shared" si="10"/>
        <v>25864.550000000003</v>
      </c>
      <c r="Q21" s="127">
        <f t="shared" si="0"/>
        <v>5729.233484936601</v>
      </c>
      <c r="R21" s="125">
        <f t="shared" si="1"/>
        <v>5729.233356164988</v>
      </c>
      <c r="S21" s="125">
        <f t="shared" si="2"/>
        <v>5592.361706451865</v>
      </c>
      <c r="T21" s="125">
        <f t="shared" si="3"/>
        <v>5729.23335803104</v>
      </c>
      <c r="U21" s="125">
        <f t="shared" si="4"/>
        <v>5557.416687224532</v>
      </c>
      <c r="V21" s="125">
        <f t="shared" si="11"/>
        <v>5729.205591606643</v>
      </c>
      <c r="W21" s="125">
        <f t="shared" si="12"/>
        <v>5729.2335758643885</v>
      </c>
      <c r="X21" s="125">
        <f t="shared" si="5"/>
        <v>5729.233447018226</v>
      </c>
      <c r="Y21" s="125">
        <f t="shared" si="6"/>
        <v>5646.548166958782</v>
      </c>
      <c r="Z21" s="125">
        <f t="shared" si="7"/>
        <v>5523.183861355339</v>
      </c>
      <c r="AA21" s="125">
        <f t="shared" si="8"/>
        <v>5729.233407711002</v>
      </c>
      <c r="AB21" s="125">
        <f t="shared" si="9"/>
        <v>5619.294049874746</v>
      </c>
      <c r="AC21" s="195">
        <f t="shared" si="13"/>
        <v>68043.41069319815</v>
      </c>
      <c r="AD21" s="127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95">
        <f t="shared" si="14"/>
        <v>0</v>
      </c>
      <c r="AQ21" s="197">
        <f t="shared" si="15"/>
        <v>93907.96069319815</v>
      </c>
    </row>
    <row r="22" spans="1:43" s="35" customFormat="1" ht="12" customHeight="1">
      <c r="A22" s="42">
        <v>16</v>
      </c>
      <c r="B22" s="9" t="s">
        <v>148</v>
      </c>
      <c r="C22" s="123">
        <v>2035.1</v>
      </c>
      <c r="D22" s="125"/>
      <c r="E22" s="125"/>
      <c r="F22" s="125">
        <v>5164.43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94">
        <f t="shared" si="10"/>
        <v>5164.43</v>
      </c>
      <c r="Q22" s="127">
        <f t="shared" si="0"/>
        <v>2519.6409842083203</v>
      </c>
      <c r="R22" s="125">
        <f t="shared" si="1"/>
        <v>2519.6409275762708</v>
      </c>
      <c r="S22" s="125">
        <f t="shared" si="2"/>
        <v>2459.4465893458387</v>
      </c>
      <c r="T22" s="125">
        <f t="shared" si="3"/>
        <v>2519.6409283969356</v>
      </c>
      <c r="U22" s="125">
        <f t="shared" si="4"/>
        <v>2444.078232850919</v>
      </c>
      <c r="V22" s="125">
        <f t="shared" si="11"/>
        <v>2519.6287170913433</v>
      </c>
      <c r="W22" s="125">
        <f t="shared" si="12"/>
        <v>2519.6410241971566</v>
      </c>
      <c r="X22" s="125">
        <f t="shared" si="5"/>
        <v>2519.640967532321</v>
      </c>
      <c r="Y22" s="125">
        <f t="shared" si="6"/>
        <v>2483.2770767995935</v>
      </c>
      <c r="Z22" s="125">
        <f t="shared" si="7"/>
        <v>2429.0230895595755</v>
      </c>
      <c r="AA22" s="125">
        <f t="shared" si="8"/>
        <v>2519.6409502455244</v>
      </c>
      <c r="AB22" s="125">
        <f t="shared" si="9"/>
        <v>2471.291077176101</v>
      </c>
      <c r="AC22" s="195">
        <f t="shared" si="13"/>
        <v>29924.590564979902</v>
      </c>
      <c r="AD22" s="127"/>
      <c r="AE22" s="125"/>
      <c r="AF22" s="125"/>
      <c r="AG22" s="125"/>
      <c r="AH22" s="125"/>
      <c r="AI22" s="125"/>
      <c r="AJ22" s="125">
        <v>4564.24</v>
      </c>
      <c r="AK22" s="125"/>
      <c r="AL22" s="125"/>
      <c r="AM22" s="125"/>
      <c r="AN22" s="125"/>
      <c r="AO22" s="125"/>
      <c r="AP22" s="195">
        <f t="shared" si="14"/>
        <v>4564.24</v>
      </c>
      <c r="AQ22" s="197">
        <f t="shared" si="15"/>
        <v>39653.2605649799</v>
      </c>
    </row>
    <row r="23" spans="1:43" s="35" customFormat="1" ht="12" customHeight="1">
      <c r="A23" s="42">
        <v>17</v>
      </c>
      <c r="B23" s="9" t="s">
        <v>149</v>
      </c>
      <c r="C23" s="129">
        <v>7015</v>
      </c>
      <c r="D23" s="125"/>
      <c r="E23" s="125"/>
      <c r="F23" s="125">
        <v>5164.43</v>
      </c>
      <c r="G23" s="125"/>
      <c r="H23" s="125"/>
      <c r="I23" s="125"/>
      <c r="J23" s="125"/>
      <c r="K23" s="125"/>
      <c r="L23" s="125"/>
      <c r="M23" s="125">
        <v>1540.49</v>
      </c>
      <c r="N23" s="125"/>
      <c r="O23" s="125"/>
      <c r="P23" s="194">
        <f t="shared" si="10"/>
        <v>6704.92</v>
      </c>
      <c r="Q23" s="127">
        <f t="shared" si="0"/>
        <v>8685.215224913452</v>
      </c>
      <c r="R23" s="125">
        <f t="shared" si="1"/>
        <v>8685.215029702491</v>
      </c>
      <c r="S23" s="125">
        <f t="shared" si="2"/>
        <v>8477.724841168032</v>
      </c>
      <c r="T23" s="125">
        <f t="shared" si="3"/>
        <v>8685.215032531329</v>
      </c>
      <c r="U23" s="125">
        <f t="shared" si="4"/>
        <v>8424.750038548082</v>
      </c>
      <c r="V23" s="125">
        <f t="shared" si="11"/>
        <v>8685.172940099146</v>
      </c>
      <c r="W23" s="125">
        <f t="shared" si="12"/>
        <v>8685.215362755174</v>
      </c>
      <c r="X23" s="125">
        <f t="shared" si="5"/>
        <v>8685.2151674312</v>
      </c>
      <c r="Y23" s="125">
        <f t="shared" si="6"/>
        <v>8559.868652031422</v>
      </c>
      <c r="Z23" s="125">
        <f t="shared" si="7"/>
        <v>8372.854883426084</v>
      </c>
      <c r="AA23" s="125">
        <f t="shared" si="8"/>
        <v>8685.215107843524</v>
      </c>
      <c r="AB23" s="125">
        <f t="shared" si="9"/>
        <v>8518.552850665988</v>
      </c>
      <c r="AC23" s="195">
        <f t="shared" si="13"/>
        <v>103150.21513111594</v>
      </c>
      <c r="AD23" s="127"/>
      <c r="AE23" s="125"/>
      <c r="AF23" s="125"/>
      <c r="AG23" s="125"/>
      <c r="AH23" s="125"/>
      <c r="AI23" s="125"/>
      <c r="AJ23" s="125"/>
      <c r="AK23" s="125"/>
      <c r="AL23" s="125"/>
      <c r="AM23" s="125">
        <v>12405.43</v>
      </c>
      <c r="AN23" s="125"/>
      <c r="AO23" s="125"/>
      <c r="AP23" s="195">
        <f t="shared" si="14"/>
        <v>12405.43</v>
      </c>
      <c r="AQ23" s="197">
        <f t="shared" si="15"/>
        <v>122260.56513111593</v>
      </c>
    </row>
    <row r="24" spans="1:43" s="35" customFormat="1" ht="12" customHeight="1">
      <c r="A24" s="42">
        <v>18</v>
      </c>
      <c r="B24" s="9" t="s">
        <v>150</v>
      </c>
      <c r="C24" s="123">
        <v>2545.2</v>
      </c>
      <c r="D24" s="125"/>
      <c r="E24" s="125"/>
      <c r="F24" s="125">
        <f>5164.43</f>
        <v>5164.43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94">
        <f t="shared" si="10"/>
        <v>5164.43</v>
      </c>
      <c r="Q24" s="127">
        <f t="shared" si="0"/>
        <v>3151.1917021311074</v>
      </c>
      <c r="R24" s="125">
        <f t="shared" si="1"/>
        <v>3151.1916313041743</v>
      </c>
      <c r="S24" s="125">
        <f t="shared" si="2"/>
        <v>3075.9095175681928</v>
      </c>
      <c r="T24" s="125">
        <f t="shared" si="3"/>
        <v>3151.1916323305395</v>
      </c>
      <c r="U24" s="125">
        <f t="shared" si="4"/>
        <v>3056.689066017473</v>
      </c>
      <c r="V24" s="125">
        <f t="shared" si="11"/>
        <v>3151.1763602480896</v>
      </c>
      <c r="W24" s="125">
        <f t="shared" si="12"/>
        <v>3151.1917521431883</v>
      </c>
      <c r="X24" s="125">
        <f t="shared" si="5"/>
        <v>3151.191681275251</v>
      </c>
      <c r="Y24" s="125">
        <f t="shared" si="6"/>
        <v>3105.713142288008</v>
      </c>
      <c r="Z24" s="125">
        <f t="shared" si="7"/>
        <v>3037.860334896089</v>
      </c>
      <c r="AA24" s="125">
        <f t="shared" si="8"/>
        <v>3151.1916596555006</v>
      </c>
      <c r="AB24" s="125">
        <f t="shared" si="9"/>
        <v>3090.722838990032</v>
      </c>
      <c r="AC24" s="195">
        <f t="shared" si="13"/>
        <v>37425.221318847645</v>
      </c>
      <c r="AD24" s="127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95">
        <f t="shared" si="14"/>
        <v>0</v>
      </c>
      <c r="AQ24" s="197">
        <f t="shared" si="15"/>
        <v>42589.651318847646</v>
      </c>
    </row>
    <row r="25" spans="1:43" s="35" customFormat="1" ht="12" customHeight="1">
      <c r="A25" s="42">
        <v>19</v>
      </c>
      <c r="B25" s="9" t="s">
        <v>151</v>
      </c>
      <c r="C25" s="123">
        <v>1252.6</v>
      </c>
      <c r="D25" s="125"/>
      <c r="E25" s="125"/>
      <c r="F25" s="125">
        <f>5164.43</f>
        <v>5164.43</v>
      </c>
      <c r="G25" s="125"/>
      <c r="H25" s="125"/>
      <c r="I25" s="125"/>
      <c r="J25" s="125">
        <v>4110.06</v>
      </c>
      <c r="K25" s="125"/>
      <c r="L25" s="125"/>
      <c r="M25" s="125"/>
      <c r="N25" s="125"/>
      <c r="O25" s="125">
        <v>6240</v>
      </c>
      <c r="P25" s="194">
        <f t="shared" si="10"/>
        <v>15514.490000000002</v>
      </c>
      <c r="Q25" s="127">
        <f t="shared" si="0"/>
        <v>1550.8340115077106</v>
      </c>
      <c r="R25" s="125">
        <f t="shared" si="1"/>
        <v>1550.833976650797</v>
      </c>
      <c r="S25" s="125">
        <f t="shared" si="2"/>
        <v>1513.7844812611654</v>
      </c>
      <c r="T25" s="125">
        <f t="shared" si="3"/>
        <v>1550.8339771559147</v>
      </c>
      <c r="U25" s="125">
        <f t="shared" si="4"/>
        <v>1504.3252884227122</v>
      </c>
      <c r="V25" s="125">
        <f t="shared" si="11"/>
        <v>1550.8264611216239</v>
      </c>
      <c r="W25" s="125">
        <f t="shared" si="12"/>
        <v>1550.8340361207597</v>
      </c>
      <c r="X25" s="125">
        <f t="shared" si="5"/>
        <v>1550.8340012436663</v>
      </c>
      <c r="Y25" s="125">
        <f t="shared" si="6"/>
        <v>1528.4520988645131</v>
      </c>
      <c r="Z25" s="125">
        <f t="shared" si="7"/>
        <v>1495.0588776877423</v>
      </c>
      <c r="AA25" s="125">
        <f t="shared" si="8"/>
        <v>1550.8339906036774</v>
      </c>
      <c r="AB25" s="125">
        <f t="shared" si="9"/>
        <v>1521.0747399492823</v>
      </c>
      <c r="AC25" s="195">
        <f t="shared" si="13"/>
        <v>18418.525940589567</v>
      </c>
      <c r="AD25" s="127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95">
        <f t="shared" si="14"/>
        <v>0</v>
      </c>
      <c r="AQ25" s="197">
        <f t="shared" si="15"/>
        <v>33933.01594058957</v>
      </c>
    </row>
    <row r="26" spans="1:43" s="35" customFormat="1" ht="12" customHeight="1">
      <c r="A26" s="42">
        <v>20</v>
      </c>
      <c r="B26" s="9" t="s">
        <v>152</v>
      </c>
      <c r="C26" s="123">
        <v>4044.8</v>
      </c>
      <c r="D26" s="125"/>
      <c r="E26" s="125"/>
      <c r="F26" s="125">
        <v>5164.43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94">
        <f t="shared" si="10"/>
        <v>5164.43</v>
      </c>
      <c r="Q26" s="127">
        <f t="shared" si="0"/>
        <v>5007.834432178181</v>
      </c>
      <c r="R26" s="125">
        <f t="shared" si="1"/>
        <v>5007.834319620903</v>
      </c>
      <c r="S26" s="125">
        <f t="shared" si="2"/>
        <v>4888.196926237556</v>
      </c>
      <c r="T26" s="125">
        <f t="shared" si="3"/>
        <v>5007.83432125199</v>
      </c>
      <c r="U26" s="125">
        <f t="shared" si="4"/>
        <v>4857.652025077588</v>
      </c>
      <c r="V26" s="125">
        <f t="shared" si="11"/>
        <v>5007.810051049612</v>
      </c>
      <c r="W26" s="125">
        <f t="shared" si="12"/>
        <v>5007.834511656753</v>
      </c>
      <c r="X26" s="125">
        <f t="shared" si="5"/>
        <v>5007.834399034315</v>
      </c>
      <c r="Y26" s="125">
        <f t="shared" si="6"/>
        <v>4935.560473804235</v>
      </c>
      <c r="Z26" s="125">
        <f t="shared" si="7"/>
        <v>4827.729641123567</v>
      </c>
      <c r="AA26" s="125">
        <f t="shared" si="8"/>
        <v>5007.834364676478</v>
      </c>
      <c r="AB26" s="125">
        <f t="shared" si="9"/>
        <v>4911.738071329121</v>
      </c>
      <c r="AC26" s="195">
        <f t="shared" si="13"/>
        <v>59475.69353704029</v>
      </c>
      <c r="AD26" s="127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95">
        <f t="shared" si="14"/>
        <v>0</v>
      </c>
      <c r="AQ26" s="197">
        <f t="shared" si="15"/>
        <v>64640.123537040294</v>
      </c>
    </row>
    <row r="27" spans="1:43" s="35" customFormat="1" ht="12" customHeight="1">
      <c r="A27" s="42">
        <v>21</v>
      </c>
      <c r="B27" s="9" t="s">
        <v>153</v>
      </c>
      <c r="C27" s="123">
        <v>3102.75</v>
      </c>
      <c r="D27" s="125"/>
      <c r="E27" s="125"/>
      <c r="F27" s="125">
        <v>5164.43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94">
        <f t="shared" si="10"/>
        <v>5164.43</v>
      </c>
      <c r="Q27" s="127">
        <f t="shared" si="0"/>
        <v>3841.4898844048776</v>
      </c>
      <c r="R27" s="125">
        <f t="shared" si="1"/>
        <v>3841.4897980626383</v>
      </c>
      <c r="S27" s="125">
        <f t="shared" si="2"/>
        <v>3749.7164292137004</v>
      </c>
      <c r="T27" s="125">
        <f t="shared" si="3"/>
        <v>3841.4897993138384</v>
      </c>
      <c r="U27" s="125">
        <f t="shared" si="4"/>
        <v>3726.2855569643707</v>
      </c>
      <c r="V27" s="125">
        <f t="shared" si="11"/>
        <v>3841.4711817380794</v>
      </c>
      <c r="W27" s="125">
        <f t="shared" si="12"/>
        <v>3841.489945372575</v>
      </c>
      <c r="X27" s="125">
        <f t="shared" si="5"/>
        <v>3841.4898589803497</v>
      </c>
      <c r="Y27" s="125">
        <f t="shared" si="6"/>
        <v>3786.0488182595154</v>
      </c>
      <c r="Z27" s="125">
        <f t="shared" si="7"/>
        <v>3703.332215188921</v>
      </c>
      <c r="AA27" s="125">
        <f t="shared" si="8"/>
        <v>3841.4898326245893</v>
      </c>
      <c r="AB27" s="125">
        <f t="shared" si="9"/>
        <v>3767.7747480262146</v>
      </c>
      <c r="AC27" s="195">
        <f t="shared" si="13"/>
        <v>45623.56806814967</v>
      </c>
      <c r="AD27" s="127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95">
        <f t="shared" si="14"/>
        <v>0</v>
      </c>
      <c r="AQ27" s="197">
        <f t="shared" si="15"/>
        <v>50787.99806814967</v>
      </c>
    </row>
    <row r="28" spans="1:43" s="35" customFormat="1" ht="12" customHeight="1">
      <c r="A28" s="42">
        <v>22</v>
      </c>
      <c r="B28" s="9" t="s">
        <v>154</v>
      </c>
      <c r="C28" s="123">
        <v>2465.1</v>
      </c>
      <c r="D28" s="125"/>
      <c r="E28" s="125"/>
      <c r="F28" s="125">
        <v>5164.43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94">
        <f t="shared" si="10"/>
        <v>5164.43</v>
      </c>
      <c r="Q28" s="127">
        <f t="shared" si="0"/>
        <v>3052.020534701946</v>
      </c>
      <c r="R28" s="125">
        <f t="shared" si="1"/>
        <v>3052.0204661040075</v>
      </c>
      <c r="S28" s="125">
        <f t="shared" si="2"/>
        <v>2979.1075560888544</v>
      </c>
      <c r="T28" s="125">
        <f t="shared" si="3"/>
        <v>3052.0204670980725</v>
      </c>
      <c r="U28" s="125">
        <f t="shared" si="4"/>
        <v>2960.4919914504453</v>
      </c>
      <c r="V28" s="125">
        <f t="shared" si="11"/>
        <v>3052.0056756433937</v>
      </c>
      <c r="W28" s="125">
        <f t="shared" si="12"/>
        <v>3052.0205831400963</v>
      </c>
      <c r="X28" s="125">
        <f t="shared" si="5"/>
        <v>3052.0205145024447</v>
      </c>
      <c r="Y28" s="125">
        <f t="shared" si="6"/>
        <v>3007.9732308086473</v>
      </c>
      <c r="Z28" s="125">
        <f t="shared" si="7"/>
        <v>2942.2558194060784</v>
      </c>
      <c r="AA28" s="125">
        <f t="shared" si="8"/>
        <v>3052.020493563089</v>
      </c>
      <c r="AB28" s="125">
        <f t="shared" si="9"/>
        <v>2993.4546874093694</v>
      </c>
      <c r="AC28" s="195">
        <f t="shared" si="13"/>
        <v>36247.412019916446</v>
      </c>
      <c r="AD28" s="127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95">
        <f t="shared" si="14"/>
        <v>0</v>
      </c>
      <c r="AQ28" s="197">
        <f t="shared" si="15"/>
        <v>41411.84201991645</v>
      </c>
    </row>
    <row r="29" spans="1:43" s="35" customFormat="1" ht="12" customHeight="1">
      <c r="A29" s="42">
        <v>23</v>
      </c>
      <c r="B29" s="9" t="s">
        <v>155</v>
      </c>
      <c r="C29" s="123">
        <v>3488.5</v>
      </c>
      <c r="D29" s="125"/>
      <c r="E29" s="125"/>
      <c r="F29" s="125">
        <v>5164.43</v>
      </c>
      <c r="G29" s="125"/>
      <c r="H29" s="125"/>
      <c r="I29" s="125"/>
      <c r="J29" s="125">
        <v>4110.06</v>
      </c>
      <c r="K29" s="125"/>
      <c r="L29" s="125"/>
      <c r="M29" s="125">
        <v>1338.99</v>
      </c>
      <c r="N29" s="125"/>
      <c r="O29" s="125">
        <f>919.32+6240</f>
        <v>7159.32</v>
      </c>
      <c r="P29" s="194">
        <f t="shared" si="10"/>
        <v>17772.800000000003</v>
      </c>
      <c r="Q29" s="127">
        <f t="shared" si="0"/>
        <v>4319.083864876775</v>
      </c>
      <c r="R29" s="125">
        <f t="shared" si="1"/>
        <v>4319.083767800021</v>
      </c>
      <c r="S29" s="125">
        <f t="shared" si="2"/>
        <v>4215.900656937231</v>
      </c>
      <c r="T29" s="125">
        <f t="shared" si="3"/>
        <v>4319.083769206776</v>
      </c>
      <c r="U29" s="125">
        <f t="shared" si="4"/>
        <v>4189.556736917318</v>
      </c>
      <c r="V29" s="125">
        <f t="shared" si="11"/>
        <v>4319.062836997274</v>
      </c>
      <c r="W29" s="125">
        <f t="shared" si="12"/>
        <v>4319.083933424294</v>
      </c>
      <c r="X29" s="125">
        <f t="shared" si="5"/>
        <v>4319.083836291338</v>
      </c>
      <c r="Y29" s="125">
        <f t="shared" si="6"/>
        <v>4256.750077350195</v>
      </c>
      <c r="Z29" s="125">
        <f t="shared" si="7"/>
        <v>4163.749716440754</v>
      </c>
      <c r="AA29" s="125">
        <f t="shared" si="8"/>
        <v>4319.083806658893</v>
      </c>
      <c r="AB29" s="125">
        <f t="shared" si="9"/>
        <v>4236.204079764548</v>
      </c>
      <c r="AC29" s="195">
        <f t="shared" si="13"/>
        <v>51295.72708266541</v>
      </c>
      <c r="AD29" s="127">
        <f>7302.77</f>
        <v>7302.77</v>
      </c>
      <c r="AE29" s="125"/>
      <c r="AF29" s="125"/>
      <c r="AG29" s="125"/>
      <c r="AH29" s="125"/>
      <c r="AI29" s="125"/>
      <c r="AJ29" s="125"/>
      <c r="AK29" s="125"/>
      <c r="AL29" s="125"/>
      <c r="AM29" s="125">
        <v>7302.77</v>
      </c>
      <c r="AN29" s="125"/>
      <c r="AO29" s="125"/>
      <c r="AP29" s="195">
        <f t="shared" si="14"/>
        <v>14605.54</v>
      </c>
      <c r="AQ29" s="197">
        <f t="shared" si="15"/>
        <v>83674.06708266542</v>
      </c>
    </row>
    <row r="30" spans="1:43" s="35" customFormat="1" ht="12" customHeight="1">
      <c r="A30" s="42">
        <v>24</v>
      </c>
      <c r="B30" s="9" t="s">
        <v>156</v>
      </c>
      <c r="C30" s="123">
        <v>3443.3</v>
      </c>
      <c r="D30" s="125"/>
      <c r="E30" s="125"/>
      <c r="F30" s="125">
        <f>7818.75+5164.43</f>
        <v>12983.18</v>
      </c>
      <c r="G30" s="125">
        <v>5280.12</v>
      </c>
      <c r="H30" s="125"/>
      <c r="I30" s="125"/>
      <c r="J30" s="125"/>
      <c r="K30" s="125"/>
      <c r="L30" s="125"/>
      <c r="M30" s="125"/>
      <c r="N30" s="125"/>
      <c r="O30" s="125">
        <f>1115.23+6240</f>
        <v>7355.23</v>
      </c>
      <c r="P30" s="194">
        <f t="shared" si="10"/>
        <v>25618.53</v>
      </c>
      <c r="Q30" s="127">
        <f t="shared" si="0"/>
        <v>4263.12210747605</v>
      </c>
      <c r="R30" s="125">
        <f t="shared" si="1"/>
        <v>4263.122011657105</v>
      </c>
      <c r="S30" s="125">
        <f t="shared" si="2"/>
        <v>4161.275829735408</v>
      </c>
      <c r="T30" s="125">
        <f t="shared" si="3"/>
        <v>4263.122013045634</v>
      </c>
      <c r="U30" s="125">
        <f t="shared" si="4"/>
        <v>4135.273244152902</v>
      </c>
      <c r="V30" s="125">
        <f t="shared" si="11"/>
        <v>4263.101352051803</v>
      </c>
      <c r="W30" s="125">
        <f t="shared" si="12"/>
        <v>4263.122175135409</v>
      </c>
      <c r="X30" s="125">
        <f t="shared" si="5"/>
        <v>4263.122079260991</v>
      </c>
      <c r="Y30" s="125">
        <f t="shared" si="6"/>
        <v>4201.595969998546</v>
      </c>
      <c r="Z30" s="125">
        <f t="shared" si="7"/>
        <v>4109.800601582471</v>
      </c>
      <c r="AA30" s="125">
        <f t="shared" si="8"/>
        <v>4263.122050012489</v>
      </c>
      <c r="AB30" s="125">
        <f t="shared" si="9"/>
        <v>4181.31618399119</v>
      </c>
      <c r="AC30" s="195">
        <f t="shared" si="13"/>
        <v>50631.0956181</v>
      </c>
      <c r="AD30" s="127">
        <f>7302.77</f>
        <v>7302.77</v>
      </c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95">
        <f t="shared" si="14"/>
        <v>7302.77</v>
      </c>
      <c r="AQ30" s="197">
        <f t="shared" si="15"/>
        <v>83552.3956181</v>
      </c>
    </row>
    <row r="31" spans="1:43" s="35" customFormat="1" ht="12" customHeight="1">
      <c r="A31" s="42">
        <v>25</v>
      </c>
      <c r="B31" s="9" t="s">
        <v>157</v>
      </c>
      <c r="C31" s="123">
        <v>4038.6</v>
      </c>
      <c r="D31" s="125"/>
      <c r="E31" s="125"/>
      <c r="F31" s="125">
        <v>5164.43</v>
      </c>
      <c r="G31" s="125"/>
      <c r="H31" s="125"/>
      <c r="I31" s="125"/>
      <c r="J31" s="125"/>
      <c r="K31" s="125"/>
      <c r="L31" s="125"/>
      <c r="M31" s="125"/>
      <c r="N31" s="125"/>
      <c r="O31" s="125">
        <f>706.49+6240</f>
        <v>6946.49</v>
      </c>
      <c r="P31" s="194">
        <f t="shared" si="10"/>
        <v>12110.92</v>
      </c>
      <c r="Q31" s="127">
        <f t="shared" si="0"/>
        <v>5000.158261915248</v>
      </c>
      <c r="R31" s="125">
        <f t="shared" si="1"/>
        <v>5000.158149530504</v>
      </c>
      <c r="S31" s="125">
        <f t="shared" si="2"/>
        <v>4880.7041402054465</v>
      </c>
      <c r="T31" s="125">
        <f t="shared" si="3"/>
        <v>5000.15815115909</v>
      </c>
      <c r="U31" s="125">
        <f t="shared" si="4"/>
        <v>4850.20605925592</v>
      </c>
      <c r="V31" s="125">
        <f t="shared" si="11"/>
        <v>5000.133918158861</v>
      </c>
      <c r="W31" s="125">
        <f t="shared" si="12"/>
        <v>5000.158341271995</v>
      </c>
      <c r="X31" s="125">
        <f t="shared" si="5"/>
        <v>5000.158228822187</v>
      </c>
      <c r="Y31" s="125">
        <f t="shared" si="6"/>
        <v>4927.995087397592</v>
      </c>
      <c r="Z31" s="125">
        <f t="shared" si="7"/>
        <v>4820.329541297873</v>
      </c>
      <c r="AA31" s="125">
        <f t="shared" si="8"/>
        <v>5000.158194517014</v>
      </c>
      <c r="AB31" s="125">
        <f t="shared" si="9"/>
        <v>4904.209200669945</v>
      </c>
      <c r="AC31" s="195">
        <f t="shared" si="13"/>
        <v>59384.52727420167</v>
      </c>
      <c r="AD31" s="127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95">
        <f t="shared" si="14"/>
        <v>0</v>
      </c>
      <c r="AQ31" s="197">
        <f t="shared" si="15"/>
        <v>71495.44727420167</v>
      </c>
    </row>
    <row r="32" spans="1:43" s="43" customFormat="1" ht="12" customHeight="1" thickBot="1">
      <c r="A32" s="23">
        <v>25</v>
      </c>
      <c r="B32" s="12" t="s">
        <v>3</v>
      </c>
      <c r="C32" s="124">
        <f aca="true" t="shared" si="16" ref="C32:AC32">SUM(C7:C31)</f>
        <v>61340.17</v>
      </c>
      <c r="D32" s="126">
        <f t="shared" si="16"/>
        <v>3797.47</v>
      </c>
      <c r="E32" s="126">
        <f t="shared" si="16"/>
        <v>0</v>
      </c>
      <c r="F32" s="126">
        <f t="shared" si="16"/>
        <v>116415.98999999996</v>
      </c>
      <c r="G32" s="126">
        <f t="shared" si="16"/>
        <v>5280.12</v>
      </c>
      <c r="H32" s="126">
        <f t="shared" si="16"/>
        <v>0</v>
      </c>
      <c r="I32" s="126">
        <f t="shared" si="16"/>
        <v>0</v>
      </c>
      <c r="J32" s="126">
        <f t="shared" si="16"/>
        <v>20550.300000000003</v>
      </c>
      <c r="K32" s="126">
        <f t="shared" si="16"/>
        <v>0</v>
      </c>
      <c r="L32" s="126">
        <f t="shared" si="16"/>
        <v>0</v>
      </c>
      <c r="M32" s="126">
        <f t="shared" si="16"/>
        <v>2879.48</v>
      </c>
      <c r="N32" s="126">
        <f t="shared" si="16"/>
        <v>2938.43</v>
      </c>
      <c r="O32" s="126">
        <f t="shared" si="16"/>
        <v>107122.29000000001</v>
      </c>
      <c r="P32" s="199">
        <f t="shared" si="16"/>
        <v>258984.08000000002</v>
      </c>
      <c r="Q32" s="128">
        <f t="shared" si="16"/>
        <v>75944.77239954089</v>
      </c>
      <c r="R32" s="161">
        <f t="shared" si="16"/>
        <v>75944.77069258815</v>
      </c>
      <c r="S32" s="161">
        <f t="shared" si="16"/>
        <v>74130.44661018817</v>
      </c>
      <c r="T32" s="161">
        <f t="shared" si="16"/>
        <v>75944.7707173239</v>
      </c>
      <c r="U32" s="161">
        <f t="shared" si="16"/>
        <v>73667.227308916</v>
      </c>
      <c r="V32" s="161">
        <f t="shared" si="16"/>
        <v>75944.40265503655</v>
      </c>
      <c r="W32" s="161">
        <f t="shared" si="16"/>
        <v>75944.77360484874</v>
      </c>
      <c r="X32" s="161">
        <f t="shared" si="16"/>
        <v>75944.77189690781</v>
      </c>
      <c r="Y32" s="161">
        <f t="shared" si="16"/>
        <v>74848.72391921286</v>
      </c>
      <c r="Z32" s="161">
        <f t="shared" si="16"/>
        <v>73213.44860081057</v>
      </c>
      <c r="AA32" s="161">
        <f t="shared" si="16"/>
        <v>75944.77137586461</v>
      </c>
      <c r="AB32" s="161">
        <f t="shared" si="16"/>
        <v>74487.45260354046</v>
      </c>
      <c r="AC32" s="196">
        <f t="shared" si="16"/>
        <v>901960.3323847787</v>
      </c>
      <c r="AD32" s="128">
        <f aca="true" t="shared" si="17" ref="AD32:AI32">SUM(AD7:AD31)</f>
        <v>19169.78</v>
      </c>
      <c r="AE32" s="161">
        <f t="shared" si="17"/>
        <v>16431.239999999998</v>
      </c>
      <c r="AF32" s="161">
        <f t="shared" si="17"/>
        <v>0</v>
      </c>
      <c r="AG32" s="161">
        <f t="shared" si="17"/>
        <v>0</v>
      </c>
      <c r="AH32" s="161">
        <f t="shared" si="17"/>
        <v>0</v>
      </c>
      <c r="AI32" s="161">
        <f t="shared" si="17"/>
        <v>7302.77</v>
      </c>
      <c r="AJ32" s="161">
        <f aca="true" t="shared" si="18" ref="AJ32:AQ32">SUM(AJ7:AJ31)</f>
        <v>13692.71</v>
      </c>
      <c r="AK32" s="161">
        <f t="shared" si="18"/>
        <v>0</v>
      </c>
      <c r="AL32" s="161">
        <f t="shared" si="18"/>
        <v>0</v>
      </c>
      <c r="AM32" s="161">
        <f t="shared" si="18"/>
        <v>19708.2</v>
      </c>
      <c r="AN32" s="161">
        <f t="shared" si="18"/>
        <v>0</v>
      </c>
      <c r="AO32" s="161">
        <f t="shared" si="18"/>
        <v>0</v>
      </c>
      <c r="AP32" s="196">
        <f t="shared" si="18"/>
        <v>76304.7</v>
      </c>
      <c r="AQ32" s="200">
        <f t="shared" si="18"/>
        <v>1237249.112384779</v>
      </c>
    </row>
    <row r="35" spans="1:43" ht="12.75">
      <c r="A35" s="7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10" s="73" customFormat="1" ht="9.75">
      <c r="A36" s="51"/>
      <c r="B36" s="117"/>
      <c r="C36" s="115"/>
      <c r="D36" s="115"/>
      <c r="E36" s="115"/>
      <c r="I36" s="155"/>
      <c r="J36" s="155"/>
    </row>
    <row r="37" spans="1:10" s="73" customFormat="1" ht="9.75">
      <c r="A37" s="51"/>
      <c r="B37" s="117"/>
      <c r="C37" s="115"/>
      <c r="D37" s="115"/>
      <c r="E37" s="115"/>
      <c r="J37" s="155"/>
    </row>
    <row r="38" spans="1:10" s="73" customFormat="1" ht="9.75">
      <c r="A38" s="51"/>
      <c r="B38" s="117"/>
      <c r="C38" s="115"/>
      <c r="D38" s="115"/>
      <c r="E38" s="115"/>
      <c r="J38" s="155"/>
    </row>
    <row r="39" spans="1:10" s="73" customFormat="1" ht="9.75">
      <c r="A39" s="51"/>
      <c r="B39" s="168" t="s">
        <v>144</v>
      </c>
      <c r="C39" s="247" t="s">
        <v>188</v>
      </c>
      <c r="D39" s="247"/>
      <c r="E39" s="247"/>
      <c r="F39" s="247"/>
      <c r="G39" s="247"/>
      <c r="H39" s="247"/>
      <c r="I39" s="247"/>
      <c r="J39" s="222">
        <v>3797.47</v>
      </c>
    </row>
    <row r="40" spans="1:10" s="73" customFormat="1" ht="9.75">
      <c r="A40" s="51"/>
      <c r="B40" s="168" t="s">
        <v>144</v>
      </c>
      <c r="C40" s="247" t="s">
        <v>211</v>
      </c>
      <c r="D40" s="247"/>
      <c r="E40" s="247"/>
      <c r="F40" s="247"/>
      <c r="G40" s="247"/>
      <c r="H40" s="247"/>
      <c r="I40" s="247"/>
      <c r="J40" s="169">
        <v>7818.75</v>
      </c>
    </row>
    <row r="41" spans="1:10" s="73" customFormat="1" ht="9.75">
      <c r="A41" s="51"/>
      <c r="B41" s="168" t="s">
        <v>142</v>
      </c>
      <c r="C41" s="247" t="s">
        <v>211</v>
      </c>
      <c r="D41" s="247"/>
      <c r="E41" s="247"/>
      <c r="F41" s="247"/>
      <c r="G41" s="247"/>
      <c r="H41" s="247"/>
      <c r="I41" s="247"/>
      <c r="J41" s="169">
        <v>7818.75</v>
      </c>
    </row>
    <row r="42" spans="1:10" s="73" customFormat="1" ht="9.75">
      <c r="A42" s="51"/>
      <c r="B42" s="117" t="s">
        <v>156</v>
      </c>
      <c r="C42" s="247" t="s">
        <v>211</v>
      </c>
      <c r="D42" s="247"/>
      <c r="E42" s="247"/>
      <c r="F42" s="247"/>
      <c r="G42" s="247"/>
      <c r="H42" s="247"/>
      <c r="I42" s="247"/>
      <c r="J42" s="169">
        <v>7818.75</v>
      </c>
    </row>
    <row r="43" spans="1:10" s="73" customFormat="1" ht="9.75">
      <c r="A43" s="51"/>
      <c r="B43" s="117" t="s">
        <v>145</v>
      </c>
      <c r="C43" s="248" t="s">
        <v>215</v>
      </c>
      <c r="D43" s="248"/>
      <c r="E43" s="248"/>
      <c r="F43" s="248"/>
      <c r="G43" s="248"/>
      <c r="H43" s="248"/>
      <c r="I43" s="248"/>
      <c r="J43" s="222">
        <v>5164.43</v>
      </c>
    </row>
    <row r="44" spans="1:47" s="73" customFormat="1" ht="9.75">
      <c r="A44" s="51"/>
      <c r="B44" s="117" t="s">
        <v>146</v>
      </c>
      <c r="C44" s="250" t="s">
        <v>215</v>
      </c>
      <c r="D44" s="250"/>
      <c r="E44" s="250"/>
      <c r="F44" s="250"/>
      <c r="G44" s="250"/>
      <c r="H44" s="250"/>
      <c r="I44" s="250"/>
      <c r="J44" s="223">
        <v>5164.43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</row>
    <row r="45" spans="1:10" s="73" customFormat="1" ht="9.75">
      <c r="A45" s="51"/>
      <c r="B45" s="117" t="s">
        <v>147</v>
      </c>
      <c r="C45" s="248" t="s">
        <v>215</v>
      </c>
      <c r="D45" s="248"/>
      <c r="E45" s="248"/>
      <c r="F45" s="248"/>
      <c r="G45" s="248"/>
      <c r="H45" s="248"/>
      <c r="I45" s="248"/>
      <c r="J45" s="222">
        <v>5164.43</v>
      </c>
    </row>
    <row r="46" spans="1:10" s="73" customFormat="1" ht="9.75">
      <c r="A46" s="51"/>
      <c r="B46" s="117" t="s">
        <v>148</v>
      </c>
      <c r="C46" s="248" t="s">
        <v>215</v>
      </c>
      <c r="D46" s="248"/>
      <c r="E46" s="248"/>
      <c r="F46" s="248"/>
      <c r="G46" s="248"/>
      <c r="H46" s="248"/>
      <c r="I46" s="248"/>
      <c r="J46" s="222">
        <v>5164.43</v>
      </c>
    </row>
    <row r="47" spans="1:45" s="76" customFormat="1" ht="12.75" customHeight="1">
      <c r="A47" s="51"/>
      <c r="B47" s="117" t="s">
        <v>149</v>
      </c>
      <c r="C47" s="248" t="s">
        <v>215</v>
      </c>
      <c r="D47" s="248"/>
      <c r="E47" s="248"/>
      <c r="F47" s="248"/>
      <c r="G47" s="248"/>
      <c r="H47" s="248"/>
      <c r="I47" s="248"/>
      <c r="J47" s="223">
        <v>5164.43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</row>
    <row r="48" spans="1:44" s="76" customFormat="1" ht="12.75" customHeight="1">
      <c r="A48" s="51"/>
      <c r="B48" s="117" t="s">
        <v>150</v>
      </c>
      <c r="C48" s="248" t="s">
        <v>215</v>
      </c>
      <c r="D48" s="248"/>
      <c r="E48" s="248"/>
      <c r="F48" s="248"/>
      <c r="G48" s="248"/>
      <c r="H48" s="248"/>
      <c r="I48" s="248"/>
      <c r="J48" s="223">
        <v>5164.43</v>
      </c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</row>
    <row r="49" spans="1:45" s="76" customFormat="1" ht="12.75" customHeight="1">
      <c r="A49" s="50"/>
      <c r="B49" s="117" t="s">
        <v>151</v>
      </c>
      <c r="C49" s="248" t="s">
        <v>215</v>
      </c>
      <c r="D49" s="248"/>
      <c r="E49" s="248"/>
      <c r="F49" s="248"/>
      <c r="G49" s="248"/>
      <c r="H49" s="248"/>
      <c r="I49" s="248"/>
      <c r="J49" s="223">
        <v>5164.43</v>
      </c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</row>
    <row r="50" spans="1:47" s="76" customFormat="1" ht="12.75" customHeight="1">
      <c r="A50" s="50"/>
      <c r="B50" s="117" t="s">
        <v>152</v>
      </c>
      <c r="C50" s="248" t="s">
        <v>215</v>
      </c>
      <c r="D50" s="248"/>
      <c r="E50" s="248"/>
      <c r="F50" s="248"/>
      <c r="G50" s="248"/>
      <c r="H50" s="248"/>
      <c r="I50" s="248"/>
      <c r="J50" s="223">
        <v>5164.43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</row>
    <row r="51" spans="1:10" s="76" customFormat="1" ht="12.75">
      <c r="A51" s="50"/>
      <c r="B51" s="117" t="s">
        <v>153</v>
      </c>
      <c r="C51" s="248" t="s">
        <v>215</v>
      </c>
      <c r="D51" s="248"/>
      <c r="E51" s="248"/>
      <c r="F51" s="248"/>
      <c r="G51" s="248"/>
      <c r="H51" s="248"/>
      <c r="I51" s="248"/>
      <c r="J51" s="223">
        <v>5164.43</v>
      </c>
    </row>
    <row r="52" spans="1:10" s="76" customFormat="1" ht="12.75">
      <c r="A52" s="50"/>
      <c r="B52" s="117" t="s">
        <v>154</v>
      </c>
      <c r="C52" s="248" t="s">
        <v>215</v>
      </c>
      <c r="D52" s="248"/>
      <c r="E52" s="248"/>
      <c r="F52" s="248"/>
      <c r="G52" s="248"/>
      <c r="H52" s="248"/>
      <c r="I52" s="248"/>
      <c r="J52" s="223">
        <v>5164.43</v>
      </c>
    </row>
    <row r="53" spans="1:10" s="76" customFormat="1" ht="12.75">
      <c r="A53" s="50"/>
      <c r="B53" s="117" t="s">
        <v>155</v>
      </c>
      <c r="C53" s="248" t="s">
        <v>215</v>
      </c>
      <c r="D53" s="248"/>
      <c r="E53" s="248"/>
      <c r="F53" s="248"/>
      <c r="G53" s="248"/>
      <c r="H53" s="248"/>
      <c r="I53" s="248"/>
      <c r="J53" s="223">
        <v>5164.43</v>
      </c>
    </row>
    <row r="54" spans="1:10" s="76" customFormat="1" ht="12.75">
      <c r="A54" s="50"/>
      <c r="B54" s="117" t="s">
        <v>156</v>
      </c>
      <c r="C54" s="248" t="s">
        <v>215</v>
      </c>
      <c r="D54" s="248"/>
      <c r="E54" s="248"/>
      <c r="F54" s="248"/>
      <c r="G54" s="248"/>
      <c r="H54" s="248"/>
      <c r="I54" s="248"/>
      <c r="J54" s="223">
        <v>5164.43</v>
      </c>
    </row>
    <row r="55" spans="1:10" s="76" customFormat="1" ht="12.75">
      <c r="A55" s="50"/>
      <c r="B55" s="185" t="s">
        <v>157</v>
      </c>
      <c r="C55" s="248" t="s">
        <v>215</v>
      </c>
      <c r="D55" s="248"/>
      <c r="E55" s="248"/>
      <c r="F55" s="248"/>
      <c r="G55" s="248"/>
      <c r="H55" s="248"/>
      <c r="I55" s="248"/>
      <c r="J55" s="223">
        <v>5164.43</v>
      </c>
    </row>
    <row r="56" spans="1:10" s="76" customFormat="1" ht="12.75">
      <c r="A56" s="50"/>
      <c r="B56" s="168" t="s">
        <v>141</v>
      </c>
      <c r="C56" s="249" t="s">
        <v>215</v>
      </c>
      <c r="D56" s="249"/>
      <c r="E56" s="249"/>
      <c r="F56" s="249"/>
      <c r="G56" s="249"/>
      <c r="H56" s="249"/>
      <c r="I56" s="249"/>
      <c r="J56" s="223">
        <v>5164.43</v>
      </c>
    </row>
    <row r="57" spans="1:10" s="76" customFormat="1" ht="12.75">
      <c r="A57" s="50"/>
      <c r="B57" s="168" t="s">
        <v>142</v>
      </c>
      <c r="C57" s="249" t="s">
        <v>215</v>
      </c>
      <c r="D57" s="249"/>
      <c r="E57" s="249"/>
      <c r="F57" s="249"/>
      <c r="G57" s="249"/>
      <c r="H57" s="249"/>
      <c r="I57" s="249"/>
      <c r="J57" s="223">
        <v>5164.43</v>
      </c>
    </row>
    <row r="58" spans="1:10" s="76" customFormat="1" ht="12.75">
      <c r="A58" s="50"/>
      <c r="B58" s="168" t="s">
        <v>143</v>
      </c>
      <c r="C58" s="249" t="s">
        <v>215</v>
      </c>
      <c r="D58" s="249"/>
      <c r="E58" s="249"/>
      <c r="F58" s="249"/>
      <c r="G58" s="249"/>
      <c r="H58" s="249"/>
      <c r="I58" s="249"/>
      <c r="J58" s="223">
        <v>5164.43</v>
      </c>
    </row>
    <row r="59" spans="1:10" s="76" customFormat="1" ht="12.75">
      <c r="A59" s="50"/>
      <c r="B59" s="168" t="s">
        <v>144</v>
      </c>
      <c r="C59" s="249" t="s">
        <v>215</v>
      </c>
      <c r="D59" s="249"/>
      <c r="E59" s="249"/>
      <c r="F59" s="249"/>
      <c r="G59" s="249"/>
      <c r="H59" s="249"/>
      <c r="I59" s="249"/>
      <c r="J59" s="223">
        <v>5164.43</v>
      </c>
    </row>
    <row r="60" spans="1:44" s="76" customFormat="1" ht="12.75" customHeight="1">
      <c r="A60" s="50"/>
      <c r="B60" s="168" t="s">
        <v>139</v>
      </c>
      <c r="C60" s="249" t="s">
        <v>215</v>
      </c>
      <c r="D60" s="249"/>
      <c r="E60" s="249"/>
      <c r="F60" s="249"/>
      <c r="G60" s="249"/>
      <c r="H60" s="249"/>
      <c r="I60" s="249"/>
      <c r="J60" s="223">
        <v>5164.43</v>
      </c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</row>
    <row r="61" spans="1:44" s="76" customFormat="1" ht="12.75" customHeight="1">
      <c r="A61" s="50"/>
      <c r="B61" s="171" t="s">
        <v>156</v>
      </c>
      <c r="C61" s="249" t="s">
        <v>229</v>
      </c>
      <c r="D61" s="249"/>
      <c r="E61" s="249"/>
      <c r="F61" s="249"/>
      <c r="G61" s="249"/>
      <c r="H61" s="249"/>
      <c r="I61" s="249"/>
      <c r="J61" s="174">
        <v>5280.12</v>
      </c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</row>
    <row r="62" spans="1:29" s="76" customFormat="1" ht="12.75" customHeight="1">
      <c r="A62" s="50"/>
      <c r="B62" s="171" t="s">
        <v>147</v>
      </c>
      <c r="C62" s="240" t="s">
        <v>268</v>
      </c>
      <c r="D62" s="240"/>
      <c r="E62" s="240"/>
      <c r="F62" s="240"/>
      <c r="G62" s="240"/>
      <c r="H62" s="240"/>
      <c r="I62" s="240"/>
      <c r="J62" s="173">
        <v>8220.12</v>
      </c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48" s="76" customFormat="1" ht="12.75" customHeight="1">
      <c r="A63" s="50"/>
      <c r="B63" s="171" t="s">
        <v>151</v>
      </c>
      <c r="C63" s="240" t="s">
        <v>265</v>
      </c>
      <c r="D63" s="240"/>
      <c r="E63" s="240"/>
      <c r="F63" s="240"/>
      <c r="G63" s="240"/>
      <c r="H63" s="240"/>
      <c r="I63" s="240"/>
      <c r="J63" s="232">
        <v>4410.06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</row>
    <row r="64" spans="1:44" s="76" customFormat="1" ht="12.75" customHeight="1">
      <c r="A64" s="50"/>
      <c r="B64" s="171" t="s">
        <v>155</v>
      </c>
      <c r="C64" s="240" t="s">
        <v>265</v>
      </c>
      <c r="D64" s="240"/>
      <c r="E64" s="240"/>
      <c r="F64" s="240"/>
      <c r="G64" s="240"/>
      <c r="H64" s="240"/>
      <c r="I64" s="240"/>
      <c r="J64" s="232">
        <v>4410.06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</row>
    <row r="65" spans="1:10" s="76" customFormat="1" ht="12.75">
      <c r="A65" s="50"/>
      <c r="B65" s="233" t="s">
        <v>141</v>
      </c>
      <c r="C65" s="240" t="s">
        <v>265</v>
      </c>
      <c r="D65" s="240"/>
      <c r="E65" s="240"/>
      <c r="F65" s="240"/>
      <c r="G65" s="240"/>
      <c r="H65" s="240"/>
      <c r="I65" s="240"/>
      <c r="J65" s="232">
        <v>4410.06</v>
      </c>
    </row>
    <row r="66" spans="1:10" s="76" customFormat="1" ht="12.75">
      <c r="A66" s="50"/>
      <c r="B66" s="78" t="s">
        <v>149</v>
      </c>
      <c r="C66" s="240" t="s">
        <v>296</v>
      </c>
      <c r="D66" s="240"/>
      <c r="E66" s="240"/>
      <c r="F66" s="240"/>
      <c r="G66" s="240"/>
      <c r="H66" s="240"/>
      <c r="I66" s="240"/>
      <c r="J66" s="232">
        <v>1540.49</v>
      </c>
    </row>
    <row r="67" spans="1:10" s="76" customFormat="1" ht="12.75">
      <c r="A67" s="50"/>
      <c r="B67" s="78" t="s">
        <v>155</v>
      </c>
      <c r="C67" s="240" t="s">
        <v>300</v>
      </c>
      <c r="D67" s="240"/>
      <c r="E67" s="240"/>
      <c r="F67" s="240"/>
      <c r="G67" s="240"/>
      <c r="H67" s="240"/>
      <c r="I67" s="240"/>
      <c r="J67" s="232">
        <v>1338.99</v>
      </c>
    </row>
    <row r="68" spans="1:10" s="76" customFormat="1" ht="12.75">
      <c r="A68" s="50"/>
      <c r="B68" s="78" t="s">
        <v>141</v>
      </c>
      <c r="C68" s="240" t="s">
        <v>305</v>
      </c>
      <c r="D68" s="240"/>
      <c r="E68" s="240"/>
      <c r="F68" s="240"/>
      <c r="G68" s="240"/>
      <c r="H68" s="240"/>
      <c r="I68" s="240"/>
      <c r="J68" s="236">
        <v>2938.43</v>
      </c>
    </row>
    <row r="69" spans="1:10" s="76" customFormat="1" ht="12.75">
      <c r="A69" s="50"/>
      <c r="B69" s="78" t="s">
        <v>182</v>
      </c>
      <c r="C69" s="240" t="s">
        <v>323</v>
      </c>
      <c r="D69" s="240"/>
      <c r="E69" s="240"/>
      <c r="F69" s="240"/>
      <c r="G69" s="240"/>
      <c r="H69" s="240"/>
      <c r="I69" s="240"/>
      <c r="J69" s="236">
        <v>706.49</v>
      </c>
    </row>
    <row r="70" spans="1:10" s="76" customFormat="1" ht="12.75">
      <c r="A70" s="50"/>
      <c r="B70" s="78" t="s">
        <v>327</v>
      </c>
      <c r="C70" s="240" t="s">
        <v>321</v>
      </c>
      <c r="D70" s="240"/>
      <c r="E70" s="240"/>
      <c r="F70" s="240"/>
      <c r="G70" s="240"/>
      <c r="H70" s="240"/>
      <c r="I70" s="240"/>
      <c r="J70" s="236">
        <v>913.32</v>
      </c>
    </row>
    <row r="71" spans="1:10" s="76" customFormat="1" ht="12.75">
      <c r="A71" s="50"/>
      <c r="B71" s="78" t="s">
        <v>328</v>
      </c>
      <c r="C71" s="240" t="s">
        <v>323</v>
      </c>
      <c r="D71" s="240"/>
      <c r="E71" s="240"/>
      <c r="F71" s="240"/>
      <c r="G71" s="240"/>
      <c r="H71" s="240"/>
      <c r="I71" s="240"/>
      <c r="J71" s="236">
        <v>706.49</v>
      </c>
    </row>
    <row r="72" spans="1:10" s="76" customFormat="1" ht="12.75">
      <c r="A72" s="50"/>
      <c r="B72" s="78" t="s">
        <v>330</v>
      </c>
      <c r="C72" s="240" t="s">
        <v>329</v>
      </c>
      <c r="D72" s="240"/>
      <c r="E72" s="240"/>
      <c r="F72" s="240"/>
      <c r="G72" s="240"/>
      <c r="H72" s="240"/>
      <c r="I72" s="240"/>
      <c r="J72" s="236">
        <v>885.23</v>
      </c>
    </row>
    <row r="73" spans="1:10" s="76" customFormat="1" ht="12.75">
      <c r="A73" s="50"/>
      <c r="B73" s="78" t="s">
        <v>331</v>
      </c>
      <c r="C73" s="240" t="s">
        <v>323</v>
      </c>
      <c r="D73" s="240"/>
      <c r="E73" s="240"/>
      <c r="F73" s="240"/>
      <c r="G73" s="240"/>
      <c r="H73" s="240"/>
      <c r="I73" s="240"/>
      <c r="J73" s="236">
        <v>706.49</v>
      </c>
    </row>
    <row r="74" spans="1:10" s="76" customFormat="1" ht="12.75">
      <c r="A74" s="50"/>
      <c r="B74" s="78" t="s">
        <v>332</v>
      </c>
      <c r="C74" s="240" t="s">
        <v>333</v>
      </c>
      <c r="D74" s="240"/>
      <c r="E74" s="240"/>
      <c r="F74" s="240"/>
      <c r="G74" s="240"/>
      <c r="H74" s="240"/>
      <c r="I74" s="240"/>
      <c r="J74" s="236">
        <v>1115.23</v>
      </c>
    </row>
    <row r="75" spans="1:10" s="76" customFormat="1" ht="12.75">
      <c r="A75" s="50"/>
      <c r="B75" s="78" t="s">
        <v>334</v>
      </c>
      <c r="C75" s="240" t="s">
        <v>321</v>
      </c>
      <c r="D75" s="240"/>
      <c r="E75" s="240"/>
      <c r="F75" s="240"/>
      <c r="G75" s="240"/>
      <c r="H75" s="240"/>
      <c r="I75" s="240"/>
      <c r="J75" s="236">
        <v>919.32</v>
      </c>
    </row>
    <row r="76" spans="1:10" s="76" customFormat="1" ht="12.75">
      <c r="A76" s="50"/>
      <c r="B76" s="78" t="s">
        <v>340</v>
      </c>
      <c r="C76" s="240" t="s">
        <v>341</v>
      </c>
      <c r="D76" s="240"/>
      <c r="E76" s="240"/>
      <c r="F76" s="240"/>
      <c r="G76" s="240"/>
      <c r="H76" s="240"/>
      <c r="I76" s="240"/>
      <c r="J76" s="236">
        <v>1329.72</v>
      </c>
    </row>
    <row r="77" spans="1:9" s="76" customFormat="1" ht="12.75">
      <c r="A77" s="50"/>
      <c r="C77" s="240"/>
      <c r="D77" s="240"/>
      <c r="E77" s="240"/>
      <c r="F77" s="240"/>
      <c r="G77" s="240"/>
      <c r="H77" s="240"/>
      <c r="I77" s="240"/>
    </row>
    <row r="78" spans="1:9" s="76" customFormat="1" ht="12.75">
      <c r="A78" s="50"/>
      <c r="C78" s="240"/>
      <c r="D78" s="240"/>
      <c r="E78" s="240"/>
      <c r="F78" s="240"/>
      <c r="G78" s="240"/>
      <c r="H78" s="240"/>
      <c r="I78" s="240"/>
    </row>
    <row r="79" spans="1:9" s="76" customFormat="1" ht="12.75">
      <c r="A79" s="50"/>
      <c r="C79" s="240"/>
      <c r="D79" s="240"/>
      <c r="E79" s="240"/>
      <c r="F79" s="240"/>
      <c r="G79" s="240"/>
      <c r="H79" s="240"/>
      <c r="I79" s="240"/>
    </row>
    <row r="80" spans="1:9" s="76" customFormat="1" ht="12.75">
      <c r="A80" s="50"/>
      <c r="C80" s="240"/>
      <c r="D80" s="240"/>
      <c r="E80" s="240"/>
      <c r="F80" s="240"/>
      <c r="G80" s="240"/>
      <c r="H80" s="240"/>
      <c r="I80" s="240"/>
    </row>
    <row r="81" spans="1:9" s="76" customFormat="1" ht="12.75">
      <c r="A81" s="50"/>
      <c r="C81" s="240"/>
      <c r="D81" s="240"/>
      <c r="E81" s="240"/>
      <c r="F81" s="240"/>
      <c r="G81" s="240"/>
      <c r="H81" s="240"/>
      <c r="I81" s="240"/>
    </row>
    <row r="82" spans="1:9" s="76" customFormat="1" ht="12.75">
      <c r="A82" s="50"/>
      <c r="C82" s="240"/>
      <c r="D82" s="240"/>
      <c r="E82" s="240"/>
      <c r="F82" s="240"/>
      <c r="G82" s="240"/>
      <c r="H82" s="240"/>
      <c r="I82" s="240"/>
    </row>
    <row r="83" s="76" customFormat="1" ht="12.75">
      <c r="A83" s="50"/>
    </row>
    <row r="84" s="76" customFormat="1" ht="12.75">
      <c r="A84" s="50"/>
    </row>
    <row r="85" s="76" customFormat="1" ht="12.75">
      <c r="A85" s="50"/>
    </row>
    <row r="86" s="76" customFormat="1" ht="12.75">
      <c r="A86" s="50"/>
    </row>
    <row r="87" s="76" customFormat="1" ht="12.75">
      <c r="A87" s="50"/>
    </row>
    <row r="88" s="76" customFormat="1" ht="12.75">
      <c r="A88" s="50"/>
    </row>
    <row r="89" s="76" customFormat="1" ht="12.75">
      <c r="A89" s="50"/>
    </row>
    <row r="90" s="76" customFormat="1" ht="12.75">
      <c r="A90" s="50"/>
    </row>
  </sheetData>
  <sheetProtection/>
  <autoFilter ref="A1:I5"/>
  <mergeCells count="49">
    <mergeCell ref="C52:I52"/>
    <mergeCell ref="C53:I53"/>
    <mergeCell ref="C54:I54"/>
    <mergeCell ref="C55:I55"/>
    <mergeCell ref="C43:I43"/>
    <mergeCell ref="C44:I44"/>
    <mergeCell ref="C45:I45"/>
    <mergeCell ref="C46:I46"/>
    <mergeCell ref="C47:I47"/>
    <mergeCell ref="C48:I48"/>
    <mergeCell ref="C49:I49"/>
    <mergeCell ref="C56:I56"/>
    <mergeCell ref="C57:I57"/>
    <mergeCell ref="C58:I58"/>
    <mergeCell ref="C59:I59"/>
    <mergeCell ref="C62:I62"/>
    <mergeCell ref="C60:I60"/>
    <mergeCell ref="C61:I61"/>
    <mergeCell ref="C50:I50"/>
    <mergeCell ref="C51:I51"/>
    <mergeCell ref="C40:I40"/>
    <mergeCell ref="C41:I41"/>
    <mergeCell ref="C42:I42"/>
    <mergeCell ref="A2:AQ2"/>
    <mergeCell ref="AD5:AP5"/>
    <mergeCell ref="Q5:AC5"/>
    <mergeCell ref="A4:I4"/>
    <mergeCell ref="D5:P5"/>
    <mergeCell ref="C39:I39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81:I81"/>
    <mergeCell ref="C82:I82"/>
    <mergeCell ref="C75:I75"/>
    <mergeCell ref="C76:I76"/>
    <mergeCell ref="C77:I77"/>
    <mergeCell ref="C78:I78"/>
    <mergeCell ref="C79:I79"/>
    <mergeCell ref="C80:I8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9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7" sqref="O17"/>
    </sheetView>
  </sheetViews>
  <sheetFormatPr defaultColWidth="9.140625" defaultRowHeight="12.75"/>
  <cols>
    <col min="1" max="1" width="6.28125" style="1" customWidth="1"/>
    <col min="2" max="2" width="21.28125" style="46" customWidth="1"/>
    <col min="3" max="3" width="9.140625" style="46" customWidth="1"/>
    <col min="4" max="6" width="9.8515625" style="48" customWidth="1"/>
    <col min="7" max="7" width="9.140625" style="48" customWidth="1"/>
    <col min="8" max="9" width="9.57421875" style="48" customWidth="1"/>
    <col min="10" max="12" width="9.8515625" style="48" customWidth="1"/>
    <col min="13" max="13" width="9.57421875" style="48" customWidth="1"/>
    <col min="14" max="14" width="9.8515625" style="48" customWidth="1"/>
    <col min="15" max="15" width="9.57421875" style="48" customWidth="1"/>
    <col min="16" max="16" width="11.28125" style="48" customWidth="1"/>
    <col min="17" max="17" width="12.57421875" style="48" customWidth="1"/>
    <col min="18" max="18" width="9.57421875" style="55" customWidth="1"/>
    <col min="19" max="28" width="9.57421875" style="48" customWidth="1"/>
    <col min="29" max="29" width="11.140625" style="48" customWidth="1"/>
    <col min="30" max="41" width="9.28125" style="48" customWidth="1"/>
    <col min="42" max="42" width="10.00390625" style="48" bestFit="1" customWidth="1"/>
    <col min="43" max="43" width="11.140625" style="48" bestFit="1" customWidth="1"/>
    <col min="44" max="16384" width="9.140625" style="48" customWidth="1"/>
  </cols>
  <sheetData>
    <row r="1" spans="2:18" ht="15" customHeight="1">
      <c r="B1" s="2"/>
      <c r="C1" s="2"/>
      <c r="D1" s="59"/>
      <c r="R1" s="59"/>
    </row>
    <row r="2" spans="1:43" ht="11.25">
      <c r="A2" s="242" t="s">
        <v>184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</row>
    <row r="3" spans="1:43" ht="9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18" ht="10.5" thickBot="1">
      <c r="A4" s="257"/>
      <c r="B4" s="257"/>
      <c r="C4" s="257"/>
      <c r="D4" s="257"/>
      <c r="E4" s="257"/>
      <c r="F4" s="257"/>
      <c r="G4" s="257"/>
      <c r="H4" s="257"/>
      <c r="I4" s="257"/>
      <c r="R4" s="54"/>
    </row>
    <row r="5" spans="1:43" ht="30.75" thickBot="1">
      <c r="A5" s="61" t="s">
        <v>0</v>
      </c>
      <c r="B5" s="62" t="s">
        <v>1</v>
      </c>
      <c r="C5" s="63" t="s">
        <v>2</v>
      </c>
      <c r="D5" s="254" t="s">
        <v>38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54" t="s">
        <v>39</v>
      </c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6"/>
      <c r="AD5" s="254" t="s">
        <v>40</v>
      </c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6"/>
      <c r="AQ5" s="90" t="s">
        <v>41</v>
      </c>
    </row>
    <row r="6" spans="1:43" ht="12" customHeight="1">
      <c r="A6" s="64"/>
      <c r="B6" s="65" t="s">
        <v>121</v>
      </c>
      <c r="C6" s="64"/>
      <c r="D6" s="66" t="s">
        <v>42</v>
      </c>
      <c r="E6" s="66" t="s">
        <v>80</v>
      </c>
      <c r="F6" s="66" t="s">
        <v>44</v>
      </c>
      <c r="G6" s="66" t="s">
        <v>45</v>
      </c>
      <c r="H6" s="66" t="s">
        <v>46</v>
      </c>
      <c r="I6" s="66" t="s">
        <v>47</v>
      </c>
      <c r="J6" s="66" t="s">
        <v>48</v>
      </c>
      <c r="K6" s="66" t="s">
        <v>49</v>
      </c>
      <c r="L6" s="66" t="s">
        <v>50</v>
      </c>
      <c r="M6" s="66" t="s">
        <v>51</v>
      </c>
      <c r="N6" s="66" t="s">
        <v>52</v>
      </c>
      <c r="O6" s="66" t="s">
        <v>53</v>
      </c>
      <c r="P6" s="87" t="s">
        <v>54</v>
      </c>
      <c r="Q6" s="88" t="s">
        <v>42</v>
      </c>
      <c r="R6" s="56" t="s">
        <v>43</v>
      </c>
      <c r="S6" s="67" t="s">
        <v>44</v>
      </c>
      <c r="T6" s="68" t="s">
        <v>45</v>
      </c>
      <c r="U6" s="68" t="s">
        <v>46</v>
      </c>
      <c r="V6" s="68" t="s">
        <v>47</v>
      </c>
      <c r="W6" s="68" t="s">
        <v>48</v>
      </c>
      <c r="X6" s="68" t="s">
        <v>49</v>
      </c>
      <c r="Y6" s="34" t="s">
        <v>50</v>
      </c>
      <c r="Z6" s="68" t="s">
        <v>51</v>
      </c>
      <c r="AA6" s="68" t="s">
        <v>52</v>
      </c>
      <c r="AB6" s="68" t="s">
        <v>53</v>
      </c>
      <c r="AC6" s="89" t="s">
        <v>54</v>
      </c>
      <c r="AD6" s="92" t="s">
        <v>42</v>
      </c>
      <c r="AE6" s="68" t="s">
        <v>43</v>
      </c>
      <c r="AF6" s="68" t="s">
        <v>44</v>
      </c>
      <c r="AG6" s="68" t="s">
        <v>45</v>
      </c>
      <c r="AH6" s="68" t="s">
        <v>46</v>
      </c>
      <c r="AI6" s="68" t="s">
        <v>47</v>
      </c>
      <c r="AJ6" s="68" t="s">
        <v>48</v>
      </c>
      <c r="AK6" s="68" t="s">
        <v>49</v>
      </c>
      <c r="AL6" s="68" t="s">
        <v>50</v>
      </c>
      <c r="AM6" s="68" t="s">
        <v>51</v>
      </c>
      <c r="AN6" s="68" t="s">
        <v>52</v>
      </c>
      <c r="AO6" s="68" t="s">
        <v>53</v>
      </c>
      <c r="AP6" s="89" t="s">
        <v>54</v>
      </c>
      <c r="AQ6" s="91"/>
    </row>
    <row r="7" spans="1:43" ht="12" customHeight="1">
      <c r="A7" s="41">
        <v>1</v>
      </c>
      <c r="B7" s="32" t="s">
        <v>122</v>
      </c>
      <c r="C7" s="131">
        <v>1686.1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>
        <v>694.48</v>
      </c>
      <c r="O7" s="134">
        <v>6240</v>
      </c>
      <c r="P7" s="201">
        <f>SUM(D7:O7)</f>
        <v>6934.48</v>
      </c>
      <c r="Q7" s="127">
        <f aca="true" t="shared" si="0" ref="Q7:Q17">C7*593690.15/479520.23</f>
        <v>2087.546883923959</v>
      </c>
      <c r="R7" s="125">
        <f aca="true" t="shared" si="1" ref="R7:R17">C7*593686.15/479517.01</f>
        <v>2087.5468370037593</v>
      </c>
      <c r="S7" s="125">
        <f aca="true" t="shared" si="2" ref="S7:S17">C7*579500.06/479514.61</f>
        <v>2037.6752465706936</v>
      </c>
      <c r="T7" s="125">
        <f aca="true" t="shared" si="3" ref="T7:T17">C7*593938.3/479720.67</f>
        <v>2087.546837683688</v>
      </c>
      <c r="U7" s="125">
        <f aca="true" t="shared" si="4" ref="U7:U17">C7*576132.29/479725.57</f>
        <v>2024.9424148247924</v>
      </c>
      <c r="V7" s="125">
        <f aca="true" t="shared" si="5" ref="V7:V17">C7*593946.23/479729.4</f>
        <v>2087.5367204990976</v>
      </c>
      <c r="W7" s="125">
        <f aca="true" t="shared" si="6" ref="W7:W17">C7*594015.27/479782.82</f>
        <v>2087.546917055096</v>
      </c>
      <c r="X7" s="125">
        <f aca="true" t="shared" si="7" ref="X7:X17">C7*594005.55/479774.98</f>
        <v>2087.5468701077325</v>
      </c>
      <c r="Y7" s="125">
        <f aca="true" t="shared" si="8" ref="Y7:Y17">C7*585421.9/479766.08</f>
        <v>2057.4190355224778</v>
      </c>
      <c r="Z7" s="125">
        <f aca="true" t="shared" si="9" ref="Z7:Z17">C7*572643.93/479776.28</f>
        <v>2012.4690832422978</v>
      </c>
      <c r="AA7" s="125">
        <f aca="true" t="shared" si="10" ref="AA7:AA17">C7*588687.52/475479.64</f>
        <v>2087.5468557854547</v>
      </c>
      <c r="AB7" s="125">
        <f aca="true" t="shared" si="11" ref="AB7:AB17">C7*577403.59/475489.94</f>
        <v>2047.4885191030537</v>
      </c>
      <c r="AC7" s="203">
        <f>SUM(Q7:AB7)</f>
        <v>24792.812221322107</v>
      </c>
      <c r="AD7" s="137"/>
      <c r="AE7" s="134"/>
      <c r="AF7" s="134"/>
      <c r="AG7" s="134"/>
      <c r="AH7" s="134"/>
      <c r="AI7" s="134"/>
      <c r="AJ7" s="134"/>
      <c r="AK7" s="134"/>
      <c r="AL7" s="134"/>
      <c r="AM7" s="134"/>
      <c r="AN7" s="134">
        <v>4564.24</v>
      </c>
      <c r="AO7" s="134"/>
      <c r="AP7" s="203">
        <f>SUM(AD7:AO7)</f>
        <v>4564.24</v>
      </c>
      <c r="AQ7" s="205">
        <f>P7+AC7+AP7</f>
        <v>36291.53222132211</v>
      </c>
    </row>
    <row r="8" spans="1:43" ht="12" customHeight="1">
      <c r="A8" s="41">
        <v>2</v>
      </c>
      <c r="B8" s="32" t="s">
        <v>123</v>
      </c>
      <c r="C8" s="131">
        <v>317.7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01">
        <f aca="true" t="shared" si="12" ref="P8:P16">SUM(D8:O8)</f>
        <v>0</v>
      </c>
      <c r="Q8" s="127">
        <f t="shared" si="0"/>
        <v>393.34182137633695</v>
      </c>
      <c r="R8" s="125">
        <f t="shared" si="1"/>
        <v>393.3418125354927</v>
      </c>
      <c r="S8" s="125">
        <f t="shared" si="2"/>
        <v>383.94485845175814</v>
      </c>
      <c r="T8" s="125">
        <f t="shared" si="3"/>
        <v>393.34181266360696</v>
      </c>
      <c r="U8" s="125">
        <f t="shared" si="4"/>
        <v>381.54570024899857</v>
      </c>
      <c r="V8" s="125">
        <f t="shared" si="5"/>
        <v>393.33990635345674</v>
      </c>
      <c r="W8" s="125">
        <f t="shared" si="6"/>
        <v>393.34182761900473</v>
      </c>
      <c r="X8" s="125">
        <f t="shared" si="7"/>
        <v>393.34181877304235</v>
      </c>
      <c r="Y8" s="125">
        <f t="shared" si="8"/>
        <v>387.66504215971247</v>
      </c>
      <c r="Z8" s="125">
        <f t="shared" si="9"/>
        <v>379.1954378424044</v>
      </c>
      <c r="AA8" s="125">
        <f t="shared" si="10"/>
        <v>393.3418160743959</v>
      </c>
      <c r="AB8" s="125">
        <f t="shared" si="11"/>
        <v>385.79390458397495</v>
      </c>
      <c r="AC8" s="203">
        <f aca="true" t="shared" si="13" ref="AC8:AC16">SUM(Q8:AB8)</f>
        <v>4671.535758682185</v>
      </c>
      <c r="AD8" s="137"/>
      <c r="AE8" s="134"/>
      <c r="AF8" s="134"/>
      <c r="AG8" s="134"/>
      <c r="AH8" s="134"/>
      <c r="AI8" s="134"/>
      <c r="AJ8" s="134"/>
      <c r="AK8" s="134"/>
      <c r="AL8" s="134"/>
      <c r="AM8" s="134"/>
      <c r="AN8" s="134">
        <v>912.84</v>
      </c>
      <c r="AO8" s="134"/>
      <c r="AP8" s="203">
        <f aca="true" t="shared" si="14" ref="AP8:AP17">SUM(AD8:AO8)</f>
        <v>912.84</v>
      </c>
      <c r="AQ8" s="205">
        <f aca="true" t="shared" si="15" ref="AQ8:AQ16">P8+AC8+AP8</f>
        <v>5584.375758682185</v>
      </c>
    </row>
    <row r="9" spans="1:43" ht="12" customHeight="1">
      <c r="A9" s="41">
        <v>3</v>
      </c>
      <c r="B9" s="32" t="s">
        <v>124</v>
      </c>
      <c r="C9" s="131">
        <v>321.1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201">
        <f t="shared" si="12"/>
        <v>0</v>
      </c>
      <c r="Q9" s="127">
        <f t="shared" si="0"/>
        <v>397.5513341011703</v>
      </c>
      <c r="R9" s="125">
        <f t="shared" si="1"/>
        <v>397.55132516571206</v>
      </c>
      <c r="S9" s="125">
        <f t="shared" si="2"/>
        <v>388.0538056306565</v>
      </c>
      <c r="T9" s="125">
        <f t="shared" si="3"/>
        <v>397.5513252951974</v>
      </c>
      <c r="U9" s="125">
        <f t="shared" si="4"/>
        <v>385.6289718286228</v>
      </c>
      <c r="V9" s="125">
        <f t="shared" si="5"/>
        <v>397.5493985838683</v>
      </c>
      <c r="W9" s="125">
        <f t="shared" si="6"/>
        <v>397.5513404106467</v>
      </c>
      <c r="X9" s="125">
        <f t="shared" si="7"/>
        <v>397.55133147001544</v>
      </c>
      <c r="Y9" s="125">
        <f t="shared" si="8"/>
        <v>391.813802447226</v>
      </c>
      <c r="Z9" s="125">
        <f t="shared" si="9"/>
        <v>383.2535571016559</v>
      </c>
      <c r="AA9" s="125">
        <f t="shared" si="10"/>
        <v>397.55132874248835</v>
      </c>
      <c r="AB9" s="125">
        <f t="shared" si="11"/>
        <v>389.9226401067497</v>
      </c>
      <c r="AC9" s="203">
        <f t="shared" si="13"/>
        <v>4721.53016088401</v>
      </c>
      <c r="AD9" s="137"/>
      <c r="AE9" s="134"/>
      <c r="AF9" s="134"/>
      <c r="AG9" s="134"/>
      <c r="AH9" s="134"/>
      <c r="AI9" s="134"/>
      <c r="AJ9" s="134"/>
      <c r="AK9" s="134"/>
      <c r="AL9" s="134"/>
      <c r="AM9" s="134"/>
      <c r="AN9" s="134">
        <v>912.84</v>
      </c>
      <c r="AO9" s="134"/>
      <c r="AP9" s="203">
        <f t="shared" si="14"/>
        <v>912.84</v>
      </c>
      <c r="AQ9" s="205">
        <f t="shared" si="15"/>
        <v>5634.37016088401</v>
      </c>
    </row>
    <row r="10" spans="1:43" ht="12" customHeight="1">
      <c r="A10" s="41">
        <v>4</v>
      </c>
      <c r="B10" s="32" t="s">
        <v>125</v>
      </c>
      <c r="C10" s="131">
        <v>8871.1</v>
      </c>
      <c r="D10" s="134"/>
      <c r="E10" s="134"/>
      <c r="F10" s="134">
        <f>7818.75</f>
        <v>7818.75</v>
      </c>
      <c r="G10" s="134"/>
      <c r="H10" s="134"/>
      <c r="I10" s="134"/>
      <c r="J10" s="134"/>
      <c r="K10" s="134"/>
      <c r="L10" s="134"/>
      <c r="M10" s="134"/>
      <c r="N10" s="134"/>
      <c r="O10" s="134">
        <v>6240</v>
      </c>
      <c r="P10" s="201">
        <f t="shared" si="12"/>
        <v>14058.75</v>
      </c>
      <c r="Q10" s="127">
        <f t="shared" si="0"/>
        <v>10983.237745079077</v>
      </c>
      <c r="R10" s="125">
        <f t="shared" si="1"/>
        <v>10983.237498217217</v>
      </c>
      <c r="S10" s="125">
        <f t="shared" si="2"/>
        <v>10720.84744668364</v>
      </c>
      <c r="T10" s="125">
        <f t="shared" si="3"/>
        <v>10983.237501794536</v>
      </c>
      <c r="U10" s="125">
        <f t="shared" si="4"/>
        <v>10653.856032354082</v>
      </c>
      <c r="V10" s="125">
        <f t="shared" si="5"/>
        <v>10983.184272118824</v>
      </c>
      <c r="W10" s="125">
        <f t="shared" si="6"/>
        <v>10983.237919392363</v>
      </c>
      <c r="X10" s="125">
        <f t="shared" si="7"/>
        <v>10983.237672387586</v>
      </c>
      <c r="Y10" s="125">
        <f t="shared" si="8"/>
        <v>10824.725701929574</v>
      </c>
      <c r="Z10" s="125">
        <f t="shared" si="9"/>
        <v>10588.229929630952</v>
      </c>
      <c r="AA10" s="125">
        <f t="shared" si="10"/>
        <v>10983.237597033598</v>
      </c>
      <c r="AB10" s="125">
        <f t="shared" si="11"/>
        <v>10772.478145907777</v>
      </c>
      <c r="AC10" s="203">
        <f t="shared" si="13"/>
        <v>130442.74746252924</v>
      </c>
      <c r="AD10" s="137">
        <v>16431.24</v>
      </c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203">
        <f t="shared" si="14"/>
        <v>16431.24</v>
      </c>
      <c r="AQ10" s="205">
        <f t="shared" si="15"/>
        <v>160932.7374625292</v>
      </c>
    </row>
    <row r="11" spans="1:43" ht="12" customHeight="1">
      <c r="A11" s="41">
        <v>5</v>
      </c>
      <c r="B11" s="32" t="s">
        <v>126</v>
      </c>
      <c r="C11" s="131">
        <v>6243.1</v>
      </c>
      <c r="D11" s="134"/>
      <c r="E11" s="134"/>
      <c r="F11" s="134"/>
      <c r="G11" s="134"/>
      <c r="H11" s="134"/>
      <c r="I11" s="134"/>
      <c r="J11" s="134">
        <v>4110.06</v>
      </c>
      <c r="K11" s="134"/>
      <c r="L11" s="134"/>
      <c r="M11" s="134"/>
      <c r="N11" s="134">
        <v>6654.06</v>
      </c>
      <c r="O11" s="134">
        <v>6240</v>
      </c>
      <c r="P11" s="201">
        <f t="shared" si="12"/>
        <v>17004.120000000003</v>
      </c>
      <c r="Q11" s="127">
        <f t="shared" si="0"/>
        <v>7729.532027178499</v>
      </c>
      <c r="R11" s="125">
        <f t="shared" si="1"/>
        <v>7729.531853447703</v>
      </c>
      <c r="S11" s="125">
        <f t="shared" si="2"/>
        <v>7544.872980170511</v>
      </c>
      <c r="T11" s="125">
        <f t="shared" si="3"/>
        <v>7729.531855965265</v>
      </c>
      <c r="U11" s="125">
        <f t="shared" si="4"/>
        <v>7497.727293750467</v>
      </c>
      <c r="V11" s="125">
        <f t="shared" si="5"/>
        <v>7729.494395200711</v>
      </c>
      <c r="W11" s="125">
        <f t="shared" si="6"/>
        <v>7729.53214985272</v>
      </c>
      <c r="X11" s="125">
        <f t="shared" si="7"/>
        <v>7729.531976021343</v>
      </c>
      <c r="Y11" s="125">
        <f t="shared" si="8"/>
        <v>7617.978044404474</v>
      </c>
      <c r="Z11" s="125">
        <f t="shared" si="9"/>
        <v>7451.542455127211</v>
      </c>
      <c r="AA11" s="125">
        <f t="shared" si="10"/>
        <v>7729.531922990436</v>
      </c>
      <c r="AB11" s="125">
        <f t="shared" si="11"/>
        <v>7581.208453598409</v>
      </c>
      <c r="AC11" s="203">
        <f t="shared" si="13"/>
        <v>91800.01540770775</v>
      </c>
      <c r="AD11" s="137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>
        <v>13692.71</v>
      </c>
      <c r="AO11" s="134"/>
      <c r="AP11" s="203">
        <f t="shared" si="14"/>
        <v>13692.71</v>
      </c>
      <c r="AQ11" s="205">
        <f t="shared" si="15"/>
        <v>122496.84540770773</v>
      </c>
    </row>
    <row r="12" spans="1:43" ht="12" customHeight="1">
      <c r="A12" s="41">
        <v>6</v>
      </c>
      <c r="B12" s="32" t="s">
        <v>127</v>
      </c>
      <c r="C12" s="131">
        <v>6217.8</v>
      </c>
      <c r="D12" s="134"/>
      <c r="E12" s="134"/>
      <c r="F12" s="134">
        <f>3226.36</f>
        <v>3226.36</v>
      </c>
      <c r="G12" s="134"/>
      <c r="H12" s="134"/>
      <c r="I12" s="134"/>
      <c r="J12" s="134">
        <v>4110.06</v>
      </c>
      <c r="K12" s="134"/>
      <c r="L12" s="134"/>
      <c r="M12" s="134">
        <v>1540.49</v>
      </c>
      <c r="N12" s="134"/>
      <c r="O12" s="134">
        <v>6240</v>
      </c>
      <c r="P12" s="201">
        <f t="shared" si="12"/>
        <v>15116.91</v>
      </c>
      <c r="Q12" s="127">
        <f t="shared" si="0"/>
        <v>7698.208300137828</v>
      </c>
      <c r="R12" s="125">
        <f t="shared" si="1"/>
        <v>7698.20812711107</v>
      </c>
      <c r="S12" s="125">
        <f t="shared" si="2"/>
        <v>7514.2975791040035</v>
      </c>
      <c r="T12" s="125">
        <f t="shared" si="3"/>
        <v>7698.208129618431</v>
      </c>
      <c r="U12" s="125">
        <f t="shared" si="4"/>
        <v>7467.342949349147</v>
      </c>
      <c r="V12" s="125">
        <f t="shared" si="5"/>
        <v>7698.170820662648</v>
      </c>
      <c r="W12" s="125">
        <f t="shared" si="6"/>
        <v>7698.208422314914</v>
      </c>
      <c r="X12" s="125">
        <f t="shared" si="7"/>
        <v>7698.2082491879855</v>
      </c>
      <c r="Y12" s="125">
        <f t="shared" si="8"/>
        <v>7587.106386970917</v>
      </c>
      <c r="Z12" s="125">
        <f t="shared" si="9"/>
        <v>7421.3452735804285</v>
      </c>
      <c r="AA12" s="125">
        <f t="shared" si="10"/>
        <v>7698.208196371984</v>
      </c>
      <c r="AB12" s="125">
        <f t="shared" si="11"/>
        <v>7550.485803973055</v>
      </c>
      <c r="AC12" s="203">
        <f t="shared" si="13"/>
        <v>91427.99823838241</v>
      </c>
      <c r="AD12" s="137"/>
      <c r="AE12" s="134"/>
      <c r="AF12" s="134">
        <v>13692.71</v>
      </c>
      <c r="AG12" s="134"/>
      <c r="AH12" s="134"/>
      <c r="AI12" s="134"/>
      <c r="AJ12" s="134"/>
      <c r="AK12" s="134"/>
      <c r="AL12" s="134"/>
      <c r="AM12" s="134"/>
      <c r="AN12" s="134"/>
      <c r="AO12" s="134"/>
      <c r="AP12" s="203">
        <f t="shared" si="14"/>
        <v>13692.71</v>
      </c>
      <c r="AQ12" s="205">
        <f t="shared" si="15"/>
        <v>120237.61823838242</v>
      </c>
    </row>
    <row r="13" spans="1:43" ht="12" customHeight="1">
      <c r="A13" s="41">
        <v>7</v>
      </c>
      <c r="B13" s="32" t="s">
        <v>128</v>
      </c>
      <c r="C13" s="132">
        <v>6176</v>
      </c>
      <c r="D13" s="134"/>
      <c r="E13" s="134"/>
      <c r="F13" s="134"/>
      <c r="G13" s="134"/>
      <c r="H13" s="134"/>
      <c r="I13" s="134"/>
      <c r="J13" s="134">
        <v>4110.06</v>
      </c>
      <c r="K13" s="134"/>
      <c r="L13" s="134"/>
      <c r="M13" s="134"/>
      <c r="N13" s="134"/>
      <c r="O13" s="134">
        <f>7108.45+6240</f>
        <v>13348.45</v>
      </c>
      <c r="P13" s="201">
        <f t="shared" si="12"/>
        <v>17458.510000000002</v>
      </c>
      <c r="Q13" s="127">
        <f t="shared" si="0"/>
        <v>7646.456055461936</v>
      </c>
      <c r="R13" s="125">
        <f t="shared" si="1"/>
        <v>7646.4558835983735</v>
      </c>
      <c r="S13" s="125">
        <f t="shared" si="2"/>
        <v>7463.781699081078</v>
      </c>
      <c r="T13" s="125">
        <f t="shared" si="3"/>
        <v>7646.455886088878</v>
      </c>
      <c r="U13" s="125">
        <f t="shared" si="4"/>
        <v>7417.1427281643555</v>
      </c>
      <c r="V13" s="125">
        <f t="shared" si="5"/>
        <v>7646.418827947588</v>
      </c>
      <c r="W13" s="125">
        <f t="shared" si="6"/>
        <v>7646.456176817669</v>
      </c>
      <c r="X13" s="125">
        <f t="shared" si="7"/>
        <v>7646.45600485461</v>
      </c>
      <c r="Y13" s="125">
        <f t="shared" si="8"/>
        <v>7536.101039906781</v>
      </c>
      <c r="Z13" s="125">
        <f t="shared" si="9"/>
        <v>7371.454277981396</v>
      </c>
      <c r="AA13" s="125">
        <f t="shared" si="10"/>
        <v>7646.455952393671</v>
      </c>
      <c r="AB13" s="125">
        <f t="shared" si="11"/>
        <v>7499.7266437224725</v>
      </c>
      <c r="AC13" s="203">
        <f t="shared" si="13"/>
        <v>90813.3611760188</v>
      </c>
      <c r="AD13" s="137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>
        <v>13692.71</v>
      </c>
      <c r="AP13" s="203">
        <f t="shared" si="14"/>
        <v>13692.71</v>
      </c>
      <c r="AQ13" s="205">
        <f t="shared" si="15"/>
        <v>121964.58117601881</v>
      </c>
    </row>
    <row r="14" spans="1:43" ht="12" customHeight="1">
      <c r="A14" s="41">
        <v>8</v>
      </c>
      <c r="B14" s="32" t="s">
        <v>129</v>
      </c>
      <c r="C14" s="131">
        <v>6141.2</v>
      </c>
      <c r="D14" s="134"/>
      <c r="E14" s="134"/>
      <c r="F14" s="134">
        <f>7818.75</f>
        <v>7818.75</v>
      </c>
      <c r="G14" s="134"/>
      <c r="H14" s="134"/>
      <c r="I14" s="134"/>
      <c r="J14" s="134"/>
      <c r="K14" s="134"/>
      <c r="L14" s="134"/>
      <c r="M14" s="134"/>
      <c r="N14" s="134"/>
      <c r="O14" s="134">
        <f>7459.95+6240</f>
        <v>13699.95</v>
      </c>
      <c r="P14" s="201">
        <f t="shared" si="12"/>
        <v>21518.7</v>
      </c>
      <c r="Q14" s="127">
        <f t="shared" si="0"/>
        <v>7603.370454631288</v>
      </c>
      <c r="R14" s="125">
        <f t="shared" si="1"/>
        <v>7603.370283736129</v>
      </c>
      <c r="S14" s="125">
        <f t="shared" si="2"/>
        <v>7421.725416191178</v>
      </c>
      <c r="T14" s="125">
        <f t="shared" si="3"/>
        <v>7603.3702862126</v>
      </c>
      <c r="U14" s="125">
        <f t="shared" si="4"/>
        <v>7375.349242584672</v>
      </c>
      <c r="V14" s="125">
        <f t="shared" si="5"/>
        <v>7603.333436883375</v>
      </c>
      <c r="W14" s="125">
        <f t="shared" si="6"/>
        <v>7603.370575303217</v>
      </c>
      <c r="X14" s="125">
        <f t="shared" si="7"/>
        <v>7603.370404309121</v>
      </c>
      <c r="Y14" s="125">
        <f t="shared" si="8"/>
        <v>7493.637258140468</v>
      </c>
      <c r="Z14" s="125">
        <f t="shared" si="9"/>
        <v>7329.91823379847</v>
      </c>
      <c r="AA14" s="125">
        <f t="shared" si="10"/>
        <v>7603.370352143785</v>
      </c>
      <c r="AB14" s="125">
        <f t="shared" si="11"/>
        <v>7457.4678213128955</v>
      </c>
      <c r="AC14" s="203">
        <f t="shared" si="13"/>
        <v>90301.6537652472</v>
      </c>
      <c r="AD14" s="137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>
        <v>13692.71</v>
      </c>
      <c r="AP14" s="203">
        <f t="shared" si="14"/>
        <v>13692.71</v>
      </c>
      <c r="AQ14" s="205">
        <f t="shared" si="15"/>
        <v>125513.0637652472</v>
      </c>
    </row>
    <row r="15" spans="1:43" ht="12" customHeight="1">
      <c r="A15" s="41">
        <v>9</v>
      </c>
      <c r="B15" s="32" t="s">
        <v>130</v>
      </c>
      <c r="C15" s="131">
        <v>4350.49</v>
      </c>
      <c r="D15" s="134"/>
      <c r="E15" s="134"/>
      <c r="F15" s="134">
        <f>1321.18</f>
        <v>1321.18</v>
      </c>
      <c r="G15" s="134"/>
      <c r="H15" s="134"/>
      <c r="I15" s="134"/>
      <c r="J15" s="134"/>
      <c r="K15" s="134"/>
      <c r="L15" s="134"/>
      <c r="M15" s="134"/>
      <c r="N15" s="134">
        <v>694.48</v>
      </c>
      <c r="O15" s="134">
        <v>6240</v>
      </c>
      <c r="P15" s="201">
        <f t="shared" si="12"/>
        <v>8255.66</v>
      </c>
      <c r="Q15" s="127">
        <f t="shared" si="0"/>
        <v>5386.306768900032</v>
      </c>
      <c r="R15" s="125">
        <f t="shared" si="1"/>
        <v>5386.306647836122</v>
      </c>
      <c r="S15" s="125">
        <f t="shared" si="2"/>
        <v>5257.627533036794</v>
      </c>
      <c r="T15" s="125">
        <f t="shared" si="3"/>
        <v>5386.3066495904795</v>
      </c>
      <c r="U15" s="125">
        <f t="shared" si="4"/>
        <v>5224.774168952678</v>
      </c>
      <c r="V15" s="125">
        <f t="shared" si="5"/>
        <v>5386.280545142115</v>
      </c>
      <c r="W15" s="125">
        <f t="shared" si="6"/>
        <v>5386.306854385281</v>
      </c>
      <c r="X15" s="125">
        <f t="shared" si="7"/>
        <v>5386.306733251284</v>
      </c>
      <c r="Y15" s="125">
        <f t="shared" si="8"/>
        <v>5308.570630360112</v>
      </c>
      <c r="Z15" s="125">
        <f t="shared" si="9"/>
        <v>5192.59036946491</v>
      </c>
      <c r="AA15" s="125">
        <f t="shared" si="10"/>
        <v>5386.306696296817</v>
      </c>
      <c r="AB15" s="125">
        <f t="shared" si="11"/>
        <v>5282.9478248458845</v>
      </c>
      <c r="AC15" s="203">
        <f t="shared" si="13"/>
        <v>63970.6314220625</v>
      </c>
      <c r="AD15" s="137"/>
      <c r="AE15" s="134"/>
      <c r="AF15" s="134">
        <v>4564.24</v>
      </c>
      <c r="AG15" s="134"/>
      <c r="AH15" s="134"/>
      <c r="AI15" s="134"/>
      <c r="AJ15" s="134"/>
      <c r="AK15" s="134"/>
      <c r="AL15" s="134"/>
      <c r="AM15" s="134"/>
      <c r="AN15" s="134">
        <v>4564.24</v>
      </c>
      <c r="AO15" s="134"/>
      <c r="AP15" s="203">
        <f t="shared" si="14"/>
        <v>9128.48</v>
      </c>
      <c r="AQ15" s="205">
        <f t="shared" si="15"/>
        <v>81354.77142206249</v>
      </c>
    </row>
    <row r="16" spans="1:43" ht="12" customHeight="1">
      <c r="A16" s="41">
        <v>10</v>
      </c>
      <c r="B16" s="32" t="s">
        <v>131</v>
      </c>
      <c r="C16" s="131">
        <v>1658.9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>
        <v>1388.96</v>
      </c>
      <c r="O16" s="134">
        <v>6240</v>
      </c>
      <c r="P16" s="201">
        <f t="shared" si="12"/>
        <v>7628.96</v>
      </c>
      <c r="Q16" s="127">
        <f t="shared" si="0"/>
        <v>2053.8707821252924</v>
      </c>
      <c r="R16" s="125">
        <f t="shared" si="1"/>
        <v>2053.870735962005</v>
      </c>
      <c r="S16" s="125">
        <f t="shared" si="2"/>
        <v>2004.803669139508</v>
      </c>
      <c r="T16" s="125">
        <f t="shared" si="3"/>
        <v>2053.870736630965</v>
      </c>
      <c r="U16" s="125">
        <f t="shared" si="4"/>
        <v>1992.2762421877994</v>
      </c>
      <c r="V16" s="125">
        <f t="shared" si="5"/>
        <v>2053.8607826558055</v>
      </c>
      <c r="W16" s="125">
        <f t="shared" si="6"/>
        <v>2053.8708147219613</v>
      </c>
      <c r="X16" s="125">
        <f t="shared" si="7"/>
        <v>2053.870768531948</v>
      </c>
      <c r="Y16" s="125">
        <f t="shared" si="8"/>
        <v>2024.2289532223706</v>
      </c>
      <c r="Z16" s="125">
        <f t="shared" si="9"/>
        <v>1980.0041291682867</v>
      </c>
      <c r="AA16" s="125">
        <f t="shared" si="10"/>
        <v>2053.870754440716</v>
      </c>
      <c r="AB16" s="125">
        <f t="shared" si="11"/>
        <v>2014.4586349208564</v>
      </c>
      <c r="AC16" s="203">
        <f t="shared" si="13"/>
        <v>24392.85700370751</v>
      </c>
      <c r="AD16" s="137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>
        <v>3651.39</v>
      </c>
      <c r="AO16" s="134"/>
      <c r="AP16" s="203">
        <f t="shared" si="14"/>
        <v>3651.39</v>
      </c>
      <c r="AQ16" s="205">
        <f t="shared" si="15"/>
        <v>35673.20700370751</v>
      </c>
    </row>
    <row r="17" spans="1:43" ht="12" customHeight="1">
      <c r="A17" s="41">
        <v>11</v>
      </c>
      <c r="B17" s="32" t="s">
        <v>179</v>
      </c>
      <c r="C17" s="131">
        <v>1207.9</v>
      </c>
      <c r="D17" s="134"/>
      <c r="E17" s="134"/>
      <c r="F17" s="134"/>
      <c r="G17" s="134"/>
      <c r="H17" s="134"/>
      <c r="I17" s="134"/>
      <c r="J17" s="134">
        <v>9425.51</v>
      </c>
      <c r="K17" s="134"/>
      <c r="L17" s="134"/>
      <c r="M17" s="134"/>
      <c r="N17" s="134"/>
      <c r="O17" s="134"/>
      <c r="P17" s="201">
        <f>SUM(D17:O17)</f>
        <v>9425.51</v>
      </c>
      <c r="Q17" s="127">
        <f t="shared" si="0"/>
        <v>1495.4913000959316</v>
      </c>
      <c r="R17" s="125">
        <f t="shared" si="1"/>
        <v>1495.4912664829137</v>
      </c>
      <c r="S17" s="125">
        <f t="shared" si="2"/>
        <v>1459.763910997415</v>
      </c>
      <c r="T17" s="125">
        <f t="shared" si="3"/>
        <v>1495.4912669700059</v>
      </c>
      <c r="U17" s="125">
        <f t="shared" si="4"/>
        <v>1450.6422767729478</v>
      </c>
      <c r="V17" s="125">
        <f t="shared" si="5"/>
        <v>1495.484019151213</v>
      </c>
      <c r="W17" s="125">
        <f t="shared" si="6"/>
        <v>1495.4913238306451</v>
      </c>
      <c r="X17" s="125">
        <f t="shared" si="7"/>
        <v>1495.491290198168</v>
      </c>
      <c r="Y17" s="125">
        <f t="shared" si="8"/>
        <v>1473.9081033198513</v>
      </c>
      <c r="Z17" s="125">
        <f t="shared" si="9"/>
        <v>1441.7065450734665</v>
      </c>
      <c r="AA17" s="125">
        <f t="shared" si="10"/>
        <v>1495.491279937875</v>
      </c>
      <c r="AB17" s="125">
        <f t="shared" si="11"/>
        <v>1466.7940111645687</v>
      </c>
      <c r="AC17" s="203">
        <f>SUM(Q17:AB17)</f>
        <v>17761.246593995</v>
      </c>
      <c r="AD17" s="137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203">
        <f t="shared" si="14"/>
        <v>0</v>
      </c>
      <c r="AQ17" s="205">
        <f>P17+AC17+AP17</f>
        <v>27186.756593995</v>
      </c>
    </row>
    <row r="18" spans="1:43" s="43" customFormat="1" ht="12" customHeight="1" thickBot="1">
      <c r="A18" s="23">
        <v>11</v>
      </c>
      <c r="B18" s="12" t="s">
        <v>3</v>
      </c>
      <c r="C18" s="133">
        <f>SUM(C7:C17)</f>
        <v>43191.39</v>
      </c>
      <c r="D18" s="135">
        <f>SUM(D7:D17)</f>
        <v>0</v>
      </c>
      <c r="E18" s="135">
        <f aca="true" t="shared" si="16" ref="E18:O18">SUM(E7:E17)</f>
        <v>0</v>
      </c>
      <c r="F18" s="135">
        <f t="shared" si="16"/>
        <v>20185.04</v>
      </c>
      <c r="G18" s="135">
        <f t="shared" si="16"/>
        <v>0</v>
      </c>
      <c r="H18" s="135">
        <f t="shared" si="16"/>
        <v>0</v>
      </c>
      <c r="I18" s="135">
        <f t="shared" si="16"/>
        <v>0</v>
      </c>
      <c r="J18" s="135">
        <f t="shared" si="16"/>
        <v>21755.690000000002</v>
      </c>
      <c r="K18" s="135">
        <f t="shared" si="16"/>
        <v>0</v>
      </c>
      <c r="L18" s="135">
        <f t="shared" si="16"/>
        <v>0</v>
      </c>
      <c r="M18" s="135">
        <f t="shared" si="16"/>
        <v>1540.49</v>
      </c>
      <c r="N18" s="135">
        <f t="shared" si="16"/>
        <v>9431.98</v>
      </c>
      <c r="O18" s="135">
        <f t="shared" si="16"/>
        <v>64488.399999999994</v>
      </c>
      <c r="P18" s="202">
        <f>SUM(P7:P17)</f>
        <v>117401.60000000002</v>
      </c>
      <c r="Q18" s="136">
        <f>SUM(Q7:Q17)</f>
        <v>53474.91347301135</v>
      </c>
      <c r="R18" s="136">
        <f aca="true" t="shared" si="17" ref="R18:AB18">SUM(R7:R17)</f>
        <v>53474.912271096495</v>
      </c>
      <c r="S18" s="136">
        <f t="shared" si="17"/>
        <v>52197.39414505723</v>
      </c>
      <c r="T18" s="136">
        <f t="shared" si="17"/>
        <v>53474.91228851365</v>
      </c>
      <c r="U18" s="136">
        <f t="shared" si="17"/>
        <v>51871.22802101856</v>
      </c>
      <c r="V18" s="136">
        <f t="shared" si="17"/>
        <v>53474.6531251987</v>
      </c>
      <c r="W18" s="136">
        <f t="shared" si="17"/>
        <v>53474.914321703516</v>
      </c>
      <c r="X18" s="136">
        <f t="shared" si="17"/>
        <v>53474.91311909283</v>
      </c>
      <c r="Y18" s="136">
        <f t="shared" si="17"/>
        <v>52703.15399838396</v>
      </c>
      <c r="Z18" s="136">
        <f t="shared" si="17"/>
        <v>51551.709292011474</v>
      </c>
      <c r="AA18" s="136">
        <f t="shared" si="17"/>
        <v>53474.91275221122</v>
      </c>
      <c r="AB18" s="136">
        <f t="shared" si="17"/>
        <v>52448.772403239695</v>
      </c>
      <c r="AC18" s="204">
        <f>SUM(AC7:AC17)</f>
        <v>635096.3892105388</v>
      </c>
      <c r="AD18" s="136">
        <f>SUM(AD7:AD17)</f>
        <v>16431.24</v>
      </c>
      <c r="AE18" s="136">
        <f aca="true" t="shared" si="18" ref="AE18:AO18">SUM(AE7:AE17)</f>
        <v>0</v>
      </c>
      <c r="AF18" s="136">
        <f t="shared" si="18"/>
        <v>18256.949999999997</v>
      </c>
      <c r="AG18" s="136">
        <f t="shared" si="18"/>
        <v>0</v>
      </c>
      <c r="AH18" s="136">
        <f t="shared" si="18"/>
        <v>0</v>
      </c>
      <c r="AI18" s="136">
        <f t="shared" si="18"/>
        <v>0</v>
      </c>
      <c r="AJ18" s="136">
        <f t="shared" si="18"/>
        <v>0</v>
      </c>
      <c r="AK18" s="136">
        <f t="shared" si="18"/>
        <v>0</v>
      </c>
      <c r="AL18" s="136">
        <f t="shared" si="18"/>
        <v>0</v>
      </c>
      <c r="AM18" s="136">
        <f t="shared" si="18"/>
        <v>0</v>
      </c>
      <c r="AN18" s="136">
        <f t="shared" si="18"/>
        <v>28298.259999999995</v>
      </c>
      <c r="AO18" s="136">
        <f t="shared" si="18"/>
        <v>27385.42</v>
      </c>
      <c r="AP18" s="204">
        <f>SUM(AP7:AP17)</f>
        <v>90371.87</v>
      </c>
      <c r="AQ18" s="206">
        <f>SUM(AQ7:AQ17)</f>
        <v>842869.8592105388</v>
      </c>
    </row>
    <row r="19" ht="9.75">
      <c r="R19" s="59"/>
    </row>
    <row r="20" s="78" customFormat="1" ht="9.75">
      <c r="A20" s="51"/>
    </row>
    <row r="21" spans="1:5" s="78" customFormat="1" ht="9.75">
      <c r="A21" s="51"/>
      <c r="B21" s="117"/>
      <c r="C21" s="115"/>
      <c r="D21" s="115"/>
      <c r="E21" s="115"/>
    </row>
    <row r="22" spans="1:18" ht="9.75">
      <c r="A22" s="51"/>
      <c r="B22" s="117"/>
      <c r="C22" s="115"/>
      <c r="D22" s="115"/>
      <c r="E22" s="115"/>
      <c r="L22" s="156"/>
      <c r="R22" s="59"/>
    </row>
    <row r="23" spans="1:46" ht="11.25" customHeight="1">
      <c r="A23" s="51"/>
      <c r="B23" s="118" t="s">
        <v>204</v>
      </c>
      <c r="C23" s="241" t="s">
        <v>205</v>
      </c>
      <c r="D23" s="241"/>
      <c r="E23" s="241"/>
      <c r="F23" s="241"/>
      <c r="G23" s="241"/>
      <c r="H23" s="241"/>
      <c r="I23" s="241"/>
      <c r="J23" s="241"/>
      <c r="K23" s="229">
        <v>1321.18</v>
      </c>
      <c r="L23" s="15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</row>
    <row r="24" spans="1:18" ht="9.75">
      <c r="A24" s="51"/>
      <c r="B24" s="118" t="s">
        <v>208</v>
      </c>
      <c r="C24" s="251" t="s">
        <v>209</v>
      </c>
      <c r="D24" s="251"/>
      <c r="E24" s="251"/>
      <c r="F24" s="251"/>
      <c r="G24" s="251"/>
      <c r="H24" s="251"/>
      <c r="I24" s="251"/>
      <c r="J24" s="251"/>
      <c r="K24" s="230">
        <v>3226.36</v>
      </c>
      <c r="L24" s="156"/>
      <c r="R24" s="59"/>
    </row>
    <row r="25" spans="1:18" ht="9.75">
      <c r="A25" s="51"/>
      <c r="B25" s="118" t="s">
        <v>125</v>
      </c>
      <c r="C25" s="248" t="s">
        <v>211</v>
      </c>
      <c r="D25" s="248"/>
      <c r="E25" s="248"/>
      <c r="F25" s="248"/>
      <c r="G25" s="248"/>
      <c r="H25" s="248"/>
      <c r="I25" s="248"/>
      <c r="J25" s="248"/>
      <c r="K25" s="230">
        <v>7818.75</v>
      </c>
      <c r="R25" s="59"/>
    </row>
    <row r="26" spans="1:49" ht="11.25" customHeight="1">
      <c r="A26" s="51"/>
      <c r="B26" s="118" t="s">
        <v>213</v>
      </c>
      <c r="C26" s="248" t="s">
        <v>211</v>
      </c>
      <c r="D26" s="248"/>
      <c r="E26" s="248"/>
      <c r="F26" s="248"/>
      <c r="G26" s="248"/>
      <c r="H26" s="248"/>
      <c r="I26" s="248"/>
      <c r="J26" s="248"/>
      <c r="K26" s="229">
        <v>7818.75</v>
      </c>
      <c r="L26" s="170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</row>
    <row r="27" spans="1:47" ht="23.25" customHeight="1">
      <c r="A27" s="51"/>
      <c r="B27" s="168" t="s">
        <v>266</v>
      </c>
      <c r="C27" s="240" t="s">
        <v>265</v>
      </c>
      <c r="D27" s="240"/>
      <c r="E27" s="240"/>
      <c r="F27" s="240"/>
      <c r="G27" s="240"/>
      <c r="H27" s="240"/>
      <c r="I27" s="240"/>
      <c r="J27" s="240"/>
      <c r="K27" s="234">
        <v>4110.06</v>
      </c>
      <c r="L27" s="173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</row>
    <row r="28" spans="2:43" ht="11.25" customHeight="1">
      <c r="B28" s="168" t="s">
        <v>208</v>
      </c>
      <c r="C28" s="240" t="s">
        <v>265</v>
      </c>
      <c r="D28" s="240"/>
      <c r="E28" s="240"/>
      <c r="F28" s="240"/>
      <c r="G28" s="240"/>
      <c r="H28" s="240"/>
      <c r="I28" s="240"/>
      <c r="J28" s="240"/>
      <c r="K28" s="234">
        <v>4110.06</v>
      </c>
      <c r="L28" s="173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</row>
    <row r="29" spans="2:18" ht="9.75">
      <c r="B29" s="168" t="s">
        <v>267</v>
      </c>
      <c r="C29" s="240" t="s">
        <v>265</v>
      </c>
      <c r="D29" s="240"/>
      <c r="E29" s="240"/>
      <c r="F29" s="240"/>
      <c r="G29" s="240"/>
      <c r="H29" s="240"/>
      <c r="I29" s="240"/>
      <c r="J29" s="240"/>
      <c r="K29" s="234">
        <v>4110.06</v>
      </c>
      <c r="R29" s="59"/>
    </row>
    <row r="30" spans="2:18" ht="9.75">
      <c r="B30" s="168" t="s">
        <v>208</v>
      </c>
      <c r="C30" s="240" t="s">
        <v>296</v>
      </c>
      <c r="D30" s="240"/>
      <c r="E30" s="240"/>
      <c r="F30" s="240"/>
      <c r="G30" s="240"/>
      <c r="H30" s="240"/>
      <c r="I30" s="240"/>
      <c r="J30" s="240"/>
      <c r="K30" s="235">
        <v>1540.49</v>
      </c>
      <c r="R30" s="59"/>
    </row>
    <row r="31" spans="2:18" ht="9.75">
      <c r="B31" s="46" t="s">
        <v>266</v>
      </c>
      <c r="C31" s="240" t="s">
        <v>312</v>
      </c>
      <c r="D31" s="240"/>
      <c r="E31" s="240"/>
      <c r="F31" s="240"/>
      <c r="G31" s="240"/>
      <c r="H31" s="240"/>
      <c r="I31" s="240"/>
      <c r="J31" s="240"/>
      <c r="K31" s="235">
        <v>6654.06</v>
      </c>
      <c r="R31" s="59"/>
    </row>
    <row r="32" spans="2:18" ht="9.75">
      <c r="B32" s="46" t="s">
        <v>313</v>
      </c>
      <c r="C32" s="240" t="s">
        <v>294</v>
      </c>
      <c r="D32" s="240"/>
      <c r="E32" s="240"/>
      <c r="F32" s="240"/>
      <c r="G32" s="240"/>
      <c r="H32" s="240"/>
      <c r="I32" s="240"/>
      <c r="J32" s="240"/>
      <c r="K32" s="235">
        <v>1388.96</v>
      </c>
      <c r="R32" s="59"/>
    </row>
    <row r="33" spans="2:18" ht="9.75">
      <c r="B33" s="46" t="s">
        <v>122</v>
      </c>
      <c r="C33" s="240" t="s">
        <v>285</v>
      </c>
      <c r="D33" s="240"/>
      <c r="E33" s="240"/>
      <c r="F33" s="240"/>
      <c r="G33" s="240"/>
      <c r="H33" s="240"/>
      <c r="I33" s="240"/>
      <c r="J33" s="240"/>
      <c r="K33" s="235">
        <v>694.48</v>
      </c>
      <c r="R33" s="59"/>
    </row>
    <row r="34" spans="2:18" ht="9.75">
      <c r="B34" s="46" t="s">
        <v>267</v>
      </c>
      <c r="C34" s="252" t="s">
        <v>316</v>
      </c>
      <c r="D34" s="252"/>
      <c r="E34" s="252"/>
      <c r="F34" s="252"/>
      <c r="G34" s="252"/>
      <c r="H34" s="252"/>
      <c r="I34" s="252"/>
      <c r="J34" s="252"/>
      <c r="K34" s="235">
        <v>7108.45</v>
      </c>
      <c r="R34" s="59"/>
    </row>
    <row r="35" spans="2:18" ht="9.75">
      <c r="B35" s="46" t="s">
        <v>213</v>
      </c>
      <c r="C35" s="252" t="s">
        <v>318</v>
      </c>
      <c r="D35" s="252"/>
      <c r="E35" s="252"/>
      <c r="F35" s="252"/>
      <c r="G35" s="252"/>
      <c r="H35" s="252"/>
      <c r="I35" s="252"/>
      <c r="J35" s="252"/>
      <c r="K35" s="235">
        <v>7459.95</v>
      </c>
      <c r="R35" s="59"/>
    </row>
    <row r="36" spans="2:18" ht="9.75">
      <c r="B36" s="46" t="s">
        <v>179</v>
      </c>
      <c r="C36" s="252" t="s">
        <v>370</v>
      </c>
      <c r="D36" s="252"/>
      <c r="E36" s="252"/>
      <c r="F36" s="252"/>
      <c r="G36" s="252"/>
      <c r="H36" s="252"/>
      <c r="I36" s="252"/>
      <c r="J36" s="252"/>
      <c r="K36" s="235">
        <v>9425.51</v>
      </c>
      <c r="R36" s="59"/>
    </row>
    <row r="37" spans="3:18" ht="9.75">
      <c r="C37" s="252"/>
      <c r="D37" s="252"/>
      <c r="E37" s="252"/>
      <c r="F37" s="252"/>
      <c r="G37" s="252"/>
      <c r="H37" s="252"/>
      <c r="I37" s="252"/>
      <c r="J37" s="252"/>
      <c r="K37" s="235"/>
      <c r="R37" s="59"/>
    </row>
    <row r="38" spans="3:18" ht="9.75">
      <c r="C38" s="252"/>
      <c r="D38" s="252"/>
      <c r="E38" s="252"/>
      <c r="F38" s="252"/>
      <c r="G38" s="252"/>
      <c r="H38" s="252"/>
      <c r="I38" s="252"/>
      <c r="J38" s="252"/>
      <c r="K38" s="235"/>
      <c r="R38" s="59"/>
    </row>
    <row r="39" spans="3:18" ht="9.75">
      <c r="C39" s="252"/>
      <c r="D39" s="252"/>
      <c r="E39" s="252"/>
      <c r="F39" s="252"/>
      <c r="G39" s="252"/>
      <c r="H39" s="252"/>
      <c r="I39" s="252"/>
      <c r="J39" s="252"/>
      <c r="K39" s="235"/>
      <c r="R39" s="59"/>
    </row>
    <row r="40" spans="3:18" ht="9.75">
      <c r="C40" s="252"/>
      <c r="D40" s="252"/>
      <c r="E40" s="252"/>
      <c r="F40" s="252"/>
      <c r="G40" s="252"/>
      <c r="H40" s="252"/>
      <c r="I40" s="252"/>
      <c r="J40" s="252"/>
      <c r="K40" s="225"/>
      <c r="R40" s="59"/>
    </row>
    <row r="41" ht="9.75">
      <c r="R41" s="59"/>
    </row>
    <row r="42" ht="9.75">
      <c r="R42" s="59"/>
    </row>
    <row r="43" ht="9.75">
      <c r="R43" s="59"/>
    </row>
    <row r="44" ht="9.75">
      <c r="R44" s="59"/>
    </row>
    <row r="45" ht="9.75">
      <c r="R45" s="59"/>
    </row>
    <row r="46" ht="9.75">
      <c r="R46" s="59"/>
    </row>
    <row r="47" ht="9.75">
      <c r="R47" s="59"/>
    </row>
    <row r="48" ht="9.75">
      <c r="R48" s="59"/>
    </row>
    <row r="49" ht="9.75">
      <c r="R49" s="59"/>
    </row>
    <row r="50" ht="9.75">
      <c r="R50" s="59"/>
    </row>
    <row r="51" ht="9.75">
      <c r="R51" s="59"/>
    </row>
    <row r="52" ht="9.75">
      <c r="R52" s="59"/>
    </row>
    <row r="53" ht="9.75">
      <c r="R53" s="59"/>
    </row>
    <row r="54" ht="9.75">
      <c r="R54" s="59"/>
    </row>
    <row r="55" ht="9.75">
      <c r="R55" s="59"/>
    </row>
    <row r="56" ht="9.75">
      <c r="R56" s="59"/>
    </row>
    <row r="57" ht="9.75">
      <c r="R57" s="59"/>
    </row>
    <row r="58" ht="9.75">
      <c r="R58" s="59"/>
    </row>
    <row r="59" ht="9.75">
      <c r="R59" s="59"/>
    </row>
    <row r="60" ht="9.75">
      <c r="R60" s="59"/>
    </row>
    <row r="61" ht="9.75">
      <c r="R61" s="59"/>
    </row>
    <row r="62" ht="9.75">
      <c r="R62" s="59"/>
    </row>
    <row r="63" ht="9.75">
      <c r="R63" s="59"/>
    </row>
    <row r="64" ht="9.75">
      <c r="R64" s="59"/>
    </row>
    <row r="65" ht="9.75">
      <c r="R65" s="59"/>
    </row>
    <row r="66" ht="9.75">
      <c r="R66" s="59"/>
    </row>
    <row r="67" ht="9.75">
      <c r="R67" s="59"/>
    </row>
    <row r="68" ht="9.75">
      <c r="R68" s="59"/>
    </row>
    <row r="69" ht="9.75">
      <c r="R69" s="59"/>
    </row>
    <row r="70" ht="9.75">
      <c r="R70" s="59"/>
    </row>
    <row r="71" ht="9.75">
      <c r="R71" s="59"/>
    </row>
    <row r="72" ht="9.75">
      <c r="R72" s="59"/>
    </row>
    <row r="73" ht="9.75">
      <c r="R73" s="59"/>
    </row>
    <row r="74" ht="9.75">
      <c r="R74" s="59"/>
    </row>
    <row r="75" ht="9.75">
      <c r="R75" s="59"/>
    </row>
    <row r="76" ht="9.75">
      <c r="R76" s="59"/>
    </row>
    <row r="77" ht="9.75">
      <c r="R77" s="59"/>
    </row>
    <row r="78" ht="9.75">
      <c r="R78" s="59"/>
    </row>
    <row r="79" ht="9.75">
      <c r="R79" s="59"/>
    </row>
    <row r="80" ht="9.75">
      <c r="R80" s="59"/>
    </row>
    <row r="81" ht="9.75">
      <c r="R81" s="59"/>
    </row>
    <row r="82" ht="9.75">
      <c r="R82" s="59"/>
    </row>
    <row r="83" ht="9.75">
      <c r="R83" s="59"/>
    </row>
    <row r="84" ht="9.75">
      <c r="R84" s="59"/>
    </row>
    <row r="85" ht="9.75">
      <c r="R85" s="59"/>
    </row>
    <row r="86" ht="9.75">
      <c r="R86" s="59"/>
    </row>
    <row r="87" ht="9.75">
      <c r="R87" s="59"/>
    </row>
    <row r="88" ht="9.75">
      <c r="R88" s="59"/>
    </row>
    <row r="89" ht="9.75">
      <c r="R89" s="59"/>
    </row>
    <row r="90" ht="9.75">
      <c r="R90" s="59"/>
    </row>
  </sheetData>
  <sheetProtection/>
  <autoFilter ref="A1:I5"/>
  <mergeCells count="23">
    <mergeCell ref="C37:J37"/>
    <mergeCell ref="C38:J38"/>
    <mergeCell ref="C39:J39"/>
    <mergeCell ref="C40:J40"/>
    <mergeCell ref="A2:AQ2"/>
    <mergeCell ref="AD5:AP5"/>
    <mergeCell ref="Q5:AC5"/>
    <mergeCell ref="A4:I4"/>
    <mergeCell ref="D5:P5"/>
    <mergeCell ref="C30:J30"/>
    <mergeCell ref="C29:J29"/>
    <mergeCell ref="C32:J32"/>
    <mergeCell ref="C33:J33"/>
    <mergeCell ref="C34:J34"/>
    <mergeCell ref="C35:J35"/>
    <mergeCell ref="C36:J36"/>
    <mergeCell ref="C31:J31"/>
    <mergeCell ref="C23:J23"/>
    <mergeCell ref="C25:J25"/>
    <mergeCell ref="C26:J26"/>
    <mergeCell ref="C24:J24"/>
    <mergeCell ref="C27:J27"/>
    <mergeCell ref="C28:J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X42"/>
  <sheetViews>
    <sheetView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21" sqref="O21"/>
    </sheetView>
  </sheetViews>
  <sheetFormatPr defaultColWidth="9.140625" defaultRowHeight="12.75"/>
  <cols>
    <col min="1" max="1" width="6.28125" style="1" customWidth="1"/>
    <col min="2" max="2" width="19.7109375" style="46" customWidth="1"/>
    <col min="3" max="3" width="9.421875" style="46" customWidth="1"/>
    <col min="4" max="4" width="9.8515625" style="48" customWidth="1"/>
    <col min="5" max="5" width="12.57421875" style="48" customWidth="1"/>
    <col min="6" max="7" width="9.8515625" style="48" customWidth="1"/>
    <col min="8" max="9" width="9.57421875" style="48" customWidth="1"/>
    <col min="10" max="12" width="9.8515625" style="48" customWidth="1"/>
    <col min="13" max="13" width="9.57421875" style="48" customWidth="1"/>
    <col min="14" max="14" width="9.8515625" style="48" customWidth="1"/>
    <col min="15" max="15" width="11.00390625" style="48" customWidth="1"/>
    <col min="16" max="16" width="10.8515625" style="48" customWidth="1"/>
    <col min="17" max="17" width="12.57421875" style="48" customWidth="1"/>
    <col min="18" max="28" width="9.57421875" style="48" customWidth="1"/>
    <col min="29" max="29" width="11.140625" style="48" customWidth="1"/>
    <col min="30" max="41" width="9.28125" style="48" customWidth="1"/>
    <col min="42" max="42" width="10.00390625" style="48" bestFit="1" customWidth="1"/>
    <col min="43" max="43" width="11.140625" style="48" bestFit="1" customWidth="1"/>
    <col min="44" max="16384" width="9.140625" style="48" customWidth="1"/>
  </cols>
  <sheetData>
    <row r="1" spans="2:4" ht="15" customHeight="1">
      <c r="B1" s="2"/>
      <c r="C1" s="2"/>
      <c r="D1" s="57"/>
    </row>
    <row r="2" spans="1:43" ht="11.2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9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9" ht="10.5" thickBot="1">
      <c r="A4" s="260"/>
      <c r="B4" s="260"/>
      <c r="C4" s="260"/>
      <c r="D4" s="260"/>
      <c r="E4" s="260"/>
      <c r="F4" s="260"/>
      <c r="G4" s="260"/>
      <c r="H4" s="260"/>
      <c r="I4" s="260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38"/>
      <c r="B6" s="39" t="s">
        <v>106</v>
      </c>
      <c r="C6" s="38"/>
      <c r="D6" s="40" t="s">
        <v>42</v>
      </c>
      <c r="E6" s="40" t="s">
        <v>80</v>
      </c>
      <c r="F6" s="40" t="s">
        <v>44</v>
      </c>
      <c r="G6" s="40" t="s">
        <v>45</v>
      </c>
      <c r="H6" s="40" t="s">
        <v>46</v>
      </c>
      <c r="I6" s="40" t="s">
        <v>47</v>
      </c>
      <c r="J6" s="40" t="s">
        <v>48</v>
      </c>
      <c r="K6" s="40" t="s">
        <v>49</v>
      </c>
      <c r="L6" s="40" t="s">
        <v>50</v>
      </c>
      <c r="M6" s="40" t="s">
        <v>51</v>
      </c>
      <c r="N6" s="40" t="s">
        <v>52</v>
      </c>
      <c r="O6" s="40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29" t="s">
        <v>45</v>
      </c>
      <c r="U6" s="29" t="s">
        <v>46</v>
      </c>
      <c r="V6" s="29" t="s">
        <v>47</v>
      </c>
      <c r="W6" s="29" t="s">
        <v>48</v>
      </c>
      <c r="X6" s="29" t="s">
        <v>49</v>
      </c>
      <c r="Y6" s="34" t="s">
        <v>50</v>
      </c>
      <c r="Z6" s="29" t="s">
        <v>51</v>
      </c>
      <c r="AA6" s="29" t="s">
        <v>52</v>
      </c>
      <c r="AB6" s="29" t="s">
        <v>53</v>
      </c>
      <c r="AC6" s="93" t="s">
        <v>54</v>
      </c>
      <c r="AD6" s="94" t="s">
        <v>42</v>
      </c>
      <c r="AE6" s="29" t="s">
        <v>43</v>
      </c>
      <c r="AF6" s="29" t="s">
        <v>44</v>
      </c>
      <c r="AG6" s="29" t="s">
        <v>45</v>
      </c>
      <c r="AH6" s="29" t="s">
        <v>46</v>
      </c>
      <c r="AI6" s="29" t="s">
        <v>47</v>
      </c>
      <c r="AJ6" s="29" t="s">
        <v>48</v>
      </c>
      <c r="AK6" s="29" t="s">
        <v>49</v>
      </c>
      <c r="AL6" s="29" t="s">
        <v>50</v>
      </c>
      <c r="AM6" s="29" t="s">
        <v>51</v>
      </c>
      <c r="AN6" s="29" t="s">
        <v>52</v>
      </c>
      <c r="AO6" s="29" t="s">
        <v>53</v>
      </c>
      <c r="AP6" s="93" t="s">
        <v>54</v>
      </c>
      <c r="AQ6" s="95"/>
    </row>
    <row r="7" spans="1:43" ht="12.75" customHeight="1">
      <c r="A7" s="10">
        <v>1</v>
      </c>
      <c r="B7" s="9" t="s">
        <v>107</v>
      </c>
      <c r="C7" s="123">
        <v>4305.4</v>
      </c>
      <c r="D7" s="125"/>
      <c r="E7" s="125"/>
      <c r="F7" s="125"/>
      <c r="G7" s="125"/>
      <c r="H7" s="178"/>
      <c r="I7" s="125"/>
      <c r="J7" s="125"/>
      <c r="K7" s="125"/>
      <c r="L7" s="125"/>
      <c r="M7" s="125"/>
      <c r="N7" s="125"/>
      <c r="O7" s="125">
        <v>6240</v>
      </c>
      <c r="P7" s="194">
        <f>SUM(D7:O7)</f>
        <v>6240</v>
      </c>
      <c r="Q7" s="127">
        <f aca="true" t="shared" si="0" ref="Q7:Q20">C7*593690.15/479520.23</f>
        <v>5330.481201616874</v>
      </c>
      <c r="R7" s="125">
        <f aca="true" t="shared" si="1" ref="R7:R20">C7*593686.15/479517.01</f>
        <v>5330.481081807713</v>
      </c>
      <c r="S7" s="125">
        <f aca="true" t="shared" si="2" ref="S7:S20">C7*579500.06/479514.61</f>
        <v>5203.135642361345</v>
      </c>
      <c r="T7" s="125">
        <f aca="true" t="shared" si="3" ref="T7:T20">C7*593938.3/479720.67</f>
        <v>5330.481083543888</v>
      </c>
      <c r="U7" s="125">
        <f aca="true" t="shared" si="4" ref="U7:U20">C7*576132.29/479725.57</f>
        <v>5170.622782033487</v>
      </c>
      <c r="V7" s="125">
        <f aca="true" t="shared" si="5" ref="V7:V20">C7*593946.23/479729.4</f>
        <v>5330.455249651157</v>
      </c>
      <c r="W7" s="125">
        <f aca="true" t="shared" si="6" ref="W7:W20">C7*594015.27/479782.82</f>
        <v>5330.481286216125</v>
      </c>
      <c r="X7" s="125">
        <f aca="true" t="shared" si="7" ref="X7:X20">C7*594005.55/479774.98</f>
        <v>5330.481166337602</v>
      </c>
      <c r="Y7" s="125">
        <f aca="true" t="shared" si="8" ref="Y7:Y20">C7*585421.9/479766.08</f>
        <v>5253.550747605999</v>
      </c>
      <c r="Z7" s="125">
        <f aca="true" t="shared" si="9" ref="Z7:Z20">C7*572643.93/479776.28</f>
        <v>5138.772546700307</v>
      </c>
      <c r="AA7" s="125">
        <f aca="true" t="shared" si="10" ref="AA7:AA20">C7*588687.52/475479.64</f>
        <v>5330.4811297661445</v>
      </c>
      <c r="AB7" s="125">
        <f aca="true" t="shared" si="11" ref="AB7:AB20">C7*577403.59/475489.94</f>
        <v>5228.193505810028</v>
      </c>
      <c r="AC7" s="195">
        <f>SUM(Q7:AB7)</f>
        <v>63307.617423450676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0</v>
      </c>
      <c r="AQ7" s="197">
        <f>P7+AC7+AP7</f>
        <v>69547.61742345068</v>
      </c>
    </row>
    <row r="8" spans="1:43" ht="12" customHeight="1">
      <c r="A8" s="10">
        <v>2</v>
      </c>
      <c r="B8" s="9" t="s">
        <v>108</v>
      </c>
      <c r="C8" s="123">
        <v>4270.1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>
        <v>6240</v>
      </c>
      <c r="P8" s="194">
        <f aca="true" t="shared" si="12" ref="P8:P20">SUM(D8:O8)</f>
        <v>6240</v>
      </c>
      <c r="Q8" s="127">
        <f t="shared" si="0"/>
        <v>5286.776554797282</v>
      </c>
      <c r="R8" s="125">
        <f t="shared" si="1"/>
        <v>5286.776435970437</v>
      </c>
      <c r="S8" s="125">
        <f t="shared" si="2"/>
        <v>5160.4751025333735</v>
      </c>
      <c r="T8" s="125">
        <f t="shared" si="3"/>
        <v>5286.776437692377</v>
      </c>
      <c r="U8" s="125">
        <f t="shared" si="4"/>
        <v>5128.228815339154</v>
      </c>
      <c r="V8" s="125">
        <f t="shared" si="5"/>
        <v>5286.750815611885</v>
      </c>
      <c r="W8" s="125">
        <f t="shared" si="6"/>
        <v>5286.776638702904</v>
      </c>
      <c r="X8" s="125">
        <f t="shared" si="7"/>
        <v>5286.776519807266</v>
      </c>
      <c r="Y8" s="125">
        <f t="shared" si="8"/>
        <v>5210.4768540326995</v>
      </c>
      <c r="Z8" s="125">
        <f t="shared" si="9"/>
        <v>5096.639720273375</v>
      </c>
      <c r="AA8" s="125">
        <f t="shared" si="10"/>
        <v>5286.7764835356575</v>
      </c>
      <c r="AB8" s="125">
        <f t="shared" si="11"/>
        <v>5185.327516411809</v>
      </c>
      <c r="AC8" s="195">
        <f aca="true" t="shared" si="13" ref="AC8:AC20">SUM(Q8:AB8)</f>
        <v>62788.55789470822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aca="true" t="shared" si="14" ref="AP8:AP20">SUM(AD8:AO8)</f>
        <v>0</v>
      </c>
      <c r="AQ8" s="197">
        <f aca="true" t="shared" si="15" ref="AQ8:AQ20">P8+AC8+AP8</f>
        <v>69028.55789470821</v>
      </c>
    </row>
    <row r="9" spans="1:43" ht="12" customHeight="1">
      <c r="A9" s="10">
        <v>3</v>
      </c>
      <c r="B9" s="9" t="s">
        <v>109</v>
      </c>
      <c r="C9" s="123">
        <v>4281.5</v>
      </c>
      <c r="D9" s="125"/>
      <c r="E9" s="125"/>
      <c r="F9" s="125">
        <f>7818.75</f>
        <v>7818.75</v>
      </c>
      <c r="G9" s="125"/>
      <c r="H9" s="125">
        <v>636.49</v>
      </c>
      <c r="I9" s="125"/>
      <c r="J9" s="125"/>
      <c r="K9" s="125"/>
      <c r="L9" s="125">
        <v>5581.71</v>
      </c>
      <c r="M9" s="125"/>
      <c r="N9" s="125"/>
      <c r="O9" s="125">
        <v>6240</v>
      </c>
      <c r="P9" s="194">
        <f t="shared" si="12"/>
        <v>20276.95</v>
      </c>
      <c r="Q9" s="127">
        <f t="shared" si="0"/>
        <v>5300.890803345252</v>
      </c>
      <c r="R9" s="125">
        <f t="shared" si="1"/>
        <v>5300.890684201171</v>
      </c>
      <c r="S9" s="125">
        <f t="shared" si="2"/>
        <v>5174.252160721444</v>
      </c>
      <c r="T9" s="125">
        <f t="shared" si="3"/>
        <v>5300.8906859277095</v>
      </c>
      <c r="U9" s="125">
        <f t="shared" si="4"/>
        <v>5141.919784753188</v>
      </c>
      <c r="V9" s="125">
        <f t="shared" si="5"/>
        <v>5300.864995443264</v>
      </c>
      <c r="W9" s="125">
        <f t="shared" si="6"/>
        <v>5300.890887474879</v>
      </c>
      <c r="X9" s="125">
        <f t="shared" si="7"/>
        <v>5300.890768261822</v>
      </c>
      <c r="Y9" s="125">
        <f t="shared" si="8"/>
        <v>5224.387403232008</v>
      </c>
      <c r="Z9" s="125">
        <f t="shared" si="9"/>
        <v>5110.246355436746</v>
      </c>
      <c r="AA9" s="125">
        <f t="shared" si="10"/>
        <v>5300.890731893378</v>
      </c>
      <c r="AB9" s="125">
        <f t="shared" si="11"/>
        <v>5199.170923752877</v>
      </c>
      <c r="AC9" s="195">
        <f t="shared" si="13"/>
        <v>62956.186184443744</v>
      </c>
      <c r="AD9" s="127"/>
      <c r="AE9" s="125"/>
      <c r="AF9" s="125"/>
      <c r="AG9" s="125"/>
      <c r="AH9" s="125"/>
      <c r="AI9" s="125"/>
      <c r="AJ9" s="125"/>
      <c r="AK9" s="125"/>
      <c r="AL9" s="125">
        <v>9128.47</v>
      </c>
      <c r="AM9" s="125"/>
      <c r="AN9" s="125"/>
      <c r="AO9" s="125"/>
      <c r="AP9" s="195">
        <f t="shared" si="14"/>
        <v>9128.47</v>
      </c>
      <c r="AQ9" s="197">
        <f t="shared" si="15"/>
        <v>92361.60618444375</v>
      </c>
    </row>
    <row r="10" spans="1:43" ht="12" customHeight="1">
      <c r="A10" s="10">
        <v>4</v>
      </c>
      <c r="B10" s="9" t="s">
        <v>110</v>
      </c>
      <c r="C10" s="123">
        <v>4350.1</v>
      </c>
      <c r="D10" s="125"/>
      <c r="E10" s="125">
        <f>3539.48</f>
        <v>3539.48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>
        <v>6240</v>
      </c>
      <c r="P10" s="194">
        <f t="shared" si="12"/>
        <v>9779.48</v>
      </c>
      <c r="Q10" s="127">
        <f t="shared" si="0"/>
        <v>5385.823913028655</v>
      </c>
      <c r="R10" s="125">
        <f t="shared" si="1"/>
        <v>5385.823791975597</v>
      </c>
      <c r="S10" s="125">
        <f t="shared" si="2"/>
        <v>5257.156212625097</v>
      </c>
      <c r="T10" s="125">
        <f t="shared" si="3"/>
        <v>5385.823793729798</v>
      </c>
      <c r="U10" s="125">
        <f t="shared" si="4"/>
        <v>5224.305793683252</v>
      </c>
      <c r="V10" s="125">
        <f t="shared" si="5"/>
        <v>5385.797691621568</v>
      </c>
      <c r="W10" s="125">
        <f t="shared" si="6"/>
        <v>5385.823998506242</v>
      </c>
      <c r="X10" s="125">
        <f t="shared" si="7"/>
        <v>5385.823877383103</v>
      </c>
      <c r="Y10" s="125">
        <f t="shared" si="8"/>
        <v>5308.094743150663</v>
      </c>
      <c r="Z10" s="125">
        <f t="shared" si="9"/>
        <v>5192.124879314585</v>
      </c>
      <c r="AA10" s="125">
        <f t="shared" si="10"/>
        <v>5385.823840431948</v>
      </c>
      <c r="AB10" s="125">
        <f t="shared" si="11"/>
        <v>5282.4742345947425</v>
      </c>
      <c r="AC10" s="195">
        <f t="shared" si="13"/>
        <v>63964.896770045256</v>
      </c>
      <c r="AD10" s="127"/>
      <c r="AE10" s="125">
        <f>9128.47</f>
        <v>9128.47</v>
      </c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9128.47</v>
      </c>
      <c r="AQ10" s="197">
        <f t="shared" si="15"/>
        <v>82872.84677004526</v>
      </c>
    </row>
    <row r="11" spans="1:43" ht="12" customHeight="1">
      <c r="A11" s="10">
        <v>5</v>
      </c>
      <c r="B11" s="9" t="s">
        <v>111</v>
      </c>
      <c r="C11" s="123">
        <v>4355.5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>
        <v>6240</v>
      </c>
      <c r="P11" s="194">
        <f t="shared" si="12"/>
        <v>6240</v>
      </c>
      <c r="Q11" s="127">
        <f t="shared" si="0"/>
        <v>5392.509609709272</v>
      </c>
      <c r="R11" s="125">
        <f t="shared" si="1"/>
        <v>5392.509488505945</v>
      </c>
      <c r="S11" s="125">
        <f t="shared" si="2"/>
        <v>5263.682187556288</v>
      </c>
      <c r="T11" s="125">
        <f t="shared" si="3"/>
        <v>5392.509490262323</v>
      </c>
      <c r="U11" s="125">
        <f t="shared" si="4"/>
        <v>5230.790989721478</v>
      </c>
      <c r="V11" s="125">
        <f t="shared" si="5"/>
        <v>5392.4833557522215</v>
      </c>
      <c r="W11" s="125">
        <f t="shared" si="6"/>
        <v>5392.509695292966</v>
      </c>
      <c r="X11" s="125">
        <f t="shared" si="7"/>
        <v>5392.509574019471</v>
      </c>
      <c r="Y11" s="125">
        <f t="shared" si="8"/>
        <v>5314.683950666125</v>
      </c>
      <c r="Z11" s="125">
        <f t="shared" si="9"/>
        <v>5198.570127549866</v>
      </c>
      <c r="AA11" s="125">
        <f t="shared" si="10"/>
        <v>5392.509537022448</v>
      </c>
      <c r="AB11" s="125">
        <f t="shared" si="11"/>
        <v>5289.031638072091</v>
      </c>
      <c r="AC11" s="195">
        <f t="shared" si="13"/>
        <v>64044.2996441305</v>
      </c>
      <c r="AD11" s="127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0</v>
      </c>
      <c r="AQ11" s="197">
        <f t="shared" si="15"/>
        <v>70284.2996441305</v>
      </c>
    </row>
    <row r="12" spans="1:43" ht="12" customHeight="1">
      <c r="A12" s="10">
        <v>6</v>
      </c>
      <c r="B12" s="9" t="s">
        <v>112</v>
      </c>
      <c r="C12" s="123">
        <v>4247.5</v>
      </c>
      <c r="D12" s="125"/>
      <c r="E12" s="125"/>
      <c r="F12" s="125"/>
      <c r="G12" s="125"/>
      <c r="H12" s="125"/>
      <c r="I12" s="125"/>
      <c r="J12" s="125"/>
      <c r="K12" s="125">
        <v>4833.05</v>
      </c>
      <c r="L12" s="125"/>
      <c r="M12" s="125"/>
      <c r="N12" s="125"/>
      <c r="O12" s="125"/>
      <c r="P12" s="194">
        <f t="shared" si="12"/>
        <v>4833.05</v>
      </c>
      <c r="Q12" s="127">
        <f t="shared" si="0"/>
        <v>5258.795676096919</v>
      </c>
      <c r="R12" s="125">
        <f t="shared" si="1"/>
        <v>5258.795557898979</v>
      </c>
      <c r="S12" s="125">
        <f t="shared" si="2"/>
        <v>5133.162688932462</v>
      </c>
      <c r="T12" s="125">
        <f t="shared" si="3"/>
        <v>5258.795559611805</v>
      </c>
      <c r="U12" s="125">
        <f t="shared" si="4"/>
        <v>5101.087068956946</v>
      </c>
      <c r="V12" s="125">
        <f t="shared" si="5"/>
        <v>5258.770073139148</v>
      </c>
      <c r="W12" s="125">
        <f t="shared" si="6"/>
        <v>5258.79575955846</v>
      </c>
      <c r="X12" s="125">
        <f t="shared" si="7"/>
        <v>5258.795641292091</v>
      </c>
      <c r="Y12" s="125">
        <f t="shared" si="8"/>
        <v>5182.899800356874</v>
      </c>
      <c r="Z12" s="125">
        <f t="shared" si="9"/>
        <v>5069.665162844232</v>
      </c>
      <c r="AA12" s="125">
        <f t="shared" si="10"/>
        <v>5258.795605212455</v>
      </c>
      <c r="AB12" s="125">
        <f t="shared" si="11"/>
        <v>5157.883568525131</v>
      </c>
      <c r="AC12" s="195">
        <f t="shared" si="13"/>
        <v>62456.24216242551</v>
      </c>
      <c r="AD12" s="127"/>
      <c r="AE12" s="125"/>
      <c r="AF12" s="125"/>
      <c r="AG12" s="125"/>
      <c r="AH12" s="125"/>
      <c r="AI12" s="125"/>
      <c r="AJ12" s="125"/>
      <c r="AK12" s="125">
        <v>9128.47</v>
      </c>
      <c r="AL12" s="125"/>
      <c r="AM12" s="125"/>
      <c r="AN12" s="125"/>
      <c r="AO12" s="125"/>
      <c r="AP12" s="195">
        <f t="shared" si="14"/>
        <v>9128.47</v>
      </c>
      <c r="AQ12" s="197">
        <f t="shared" si="15"/>
        <v>76417.76216242551</v>
      </c>
    </row>
    <row r="13" spans="1:43" ht="12" customHeight="1">
      <c r="A13" s="10">
        <v>7</v>
      </c>
      <c r="B13" s="32" t="s">
        <v>113</v>
      </c>
      <c r="C13" s="131">
        <v>4326.8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>
        <f>1396.99+6240</f>
        <v>7636.99</v>
      </c>
      <c r="P13" s="194">
        <f t="shared" si="12"/>
        <v>7636.99</v>
      </c>
      <c r="Q13" s="127">
        <f t="shared" si="0"/>
        <v>5356.976369943766</v>
      </c>
      <c r="R13" s="125">
        <f t="shared" si="1"/>
        <v>5356.976249539094</v>
      </c>
      <c r="S13" s="125">
        <f t="shared" si="2"/>
        <v>5228.997839310882</v>
      </c>
      <c r="T13" s="125">
        <f t="shared" si="3"/>
        <v>5356.9762512839</v>
      </c>
      <c r="U13" s="125">
        <f t="shared" si="4"/>
        <v>5196.323373740533</v>
      </c>
      <c r="V13" s="125">
        <f t="shared" si="5"/>
        <v>5356.950288983749</v>
      </c>
      <c r="W13" s="125">
        <f t="shared" si="6"/>
        <v>5356.976454963518</v>
      </c>
      <c r="X13" s="125">
        <f t="shared" si="7"/>
        <v>5356.97633448914</v>
      </c>
      <c r="Y13" s="125">
        <f t="shared" si="8"/>
        <v>5279.6635329450555</v>
      </c>
      <c r="Z13" s="125">
        <f t="shared" si="9"/>
        <v>5164.314826743832</v>
      </c>
      <c r="AA13" s="125">
        <f t="shared" si="10"/>
        <v>5356.976297735903</v>
      </c>
      <c r="AB13" s="125">
        <f t="shared" si="11"/>
        <v>5254.180252923963</v>
      </c>
      <c r="AC13" s="195">
        <f t="shared" si="13"/>
        <v>63622.28807260335</v>
      </c>
      <c r="AD13" s="127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>
        <v>9128.47</v>
      </c>
      <c r="AP13" s="195">
        <f t="shared" si="14"/>
        <v>9128.47</v>
      </c>
      <c r="AQ13" s="197">
        <f t="shared" si="15"/>
        <v>80387.74807260335</v>
      </c>
    </row>
    <row r="14" spans="1:43" ht="12" customHeight="1">
      <c r="A14" s="10">
        <v>8</v>
      </c>
      <c r="B14" s="9" t="s">
        <v>114</v>
      </c>
      <c r="C14" s="123">
        <v>6607.1</v>
      </c>
      <c r="D14" s="125">
        <f>975.32</f>
        <v>975.32</v>
      </c>
      <c r="E14" s="125"/>
      <c r="F14" s="125">
        <f>7818.75</f>
        <v>7818.75</v>
      </c>
      <c r="G14" s="125"/>
      <c r="H14" s="125"/>
      <c r="I14" s="125">
        <v>2114.89</v>
      </c>
      <c r="J14" s="125"/>
      <c r="K14" s="125"/>
      <c r="L14" s="125">
        <v>80221.47</v>
      </c>
      <c r="M14" s="125"/>
      <c r="N14" s="125"/>
      <c r="O14" s="125">
        <v>6240</v>
      </c>
      <c r="P14" s="194">
        <f t="shared" si="12"/>
        <v>97370.43</v>
      </c>
      <c r="Q14" s="127">
        <f t="shared" si="0"/>
        <v>8180.197507131244</v>
      </c>
      <c r="R14" s="125">
        <f t="shared" si="1"/>
        <v>8180.197323271182</v>
      </c>
      <c r="S14" s="125">
        <f t="shared" si="2"/>
        <v>7984.772031087855</v>
      </c>
      <c r="T14" s="125">
        <f t="shared" si="3"/>
        <v>8180.197325935529</v>
      </c>
      <c r="U14" s="125">
        <f t="shared" si="4"/>
        <v>7934.877545216113</v>
      </c>
      <c r="V14" s="125">
        <f t="shared" si="5"/>
        <v>8180.157681044772</v>
      </c>
      <c r="W14" s="125">
        <f t="shared" si="6"/>
        <v>8180.197636957906</v>
      </c>
      <c r="X14" s="125">
        <f t="shared" si="7"/>
        <v>8180.197452991402</v>
      </c>
      <c r="Y14" s="125">
        <f t="shared" si="8"/>
        <v>8062.139439891207</v>
      </c>
      <c r="Z14" s="125">
        <f t="shared" si="9"/>
        <v>7885.999928764715</v>
      </c>
      <c r="AA14" s="125">
        <f t="shared" si="10"/>
        <v>8180.19739686856</v>
      </c>
      <c r="AB14" s="125">
        <f t="shared" si="11"/>
        <v>8023.226021330755</v>
      </c>
      <c r="AC14" s="195">
        <f t="shared" si="13"/>
        <v>97152.35729049126</v>
      </c>
      <c r="AD14" s="127"/>
      <c r="AE14" s="125"/>
      <c r="AF14" s="125"/>
      <c r="AG14" s="125"/>
      <c r="AH14" s="125"/>
      <c r="AI14" s="125"/>
      <c r="AJ14" s="125"/>
      <c r="AK14" s="125"/>
      <c r="AL14" s="125">
        <v>12323.43</v>
      </c>
      <c r="AM14" s="125"/>
      <c r="AN14" s="125"/>
      <c r="AO14" s="125"/>
      <c r="AP14" s="195">
        <f t="shared" si="14"/>
        <v>12323.43</v>
      </c>
      <c r="AQ14" s="197">
        <f t="shared" si="15"/>
        <v>206846.21729049124</v>
      </c>
    </row>
    <row r="15" spans="1:43" ht="12" customHeight="1">
      <c r="A15" s="10">
        <v>9</v>
      </c>
      <c r="B15" s="9" t="s">
        <v>115</v>
      </c>
      <c r="C15" s="123">
        <v>4929.9</v>
      </c>
      <c r="D15" s="125"/>
      <c r="E15" s="125"/>
      <c r="F15" s="125">
        <f>7818.75</f>
        <v>7818.75</v>
      </c>
      <c r="G15" s="125"/>
      <c r="H15" s="125"/>
      <c r="I15" s="125"/>
      <c r="J15" s="125"/>
      <c r="K15" s="125"/>
      <c r="L15" s="125"/>
      <c r="M15" s="125"/>
      <c r="N15" s="125"/>
      <c r="O15" s="125">
        <v>6240</v>
      </c>
      <c r="P15" s="194">
        <f t="shared" si="12"/>
        <v>14058.75</v>
      </c>
      <c r="Q15" s="127">
        <f t="shared" si="0"/>
        <v>6103.669641810524</v>
      </c>
      <c r="R15" s="125">
        <f t="shared" si="1"/>
        <v>6103.669504622995</v>
      </c>
      <c r="S15" s="125">
        <f t="shared" si="2"/>
        <v>5957.852558014864</v>
      </c>
      <c r="T15" s="125">
        <f t="shared" si="3"/>
        <v>6103.669506611004</v>
      </c>
      <c r="U15" s="125">
        <f t="shared" si="4"/>
        <v>5920.6236942321</v>
      </c>
      <c r="V15" s="125">
        <f t="shared" si="5"/>
        <v>6103.63992550175</v>
      </c>
      <c r="W15" s="125">
        <f t="shared" si="6"/>
        <v>6103.66973868093</v>
      </c>
      <c r="X15" s="125">
        <f t="shared" si="7"/>
        <v>6103.66960141398</v>
      </c>
      <c r="Y15" s="125">
        <f t="shared" si="8"/>
        <v>6015.580394533102</v>
      </c>
      <c r="Z15" s="125">
        <f t="shared" si="9"/>
        <v>5884.153569465751</v>
      </c>
      <c r="AA15" s="125">
        <f t="shared" si="10"/>
        <v>6103.669559537818</v>
      </c>
      <c r="AB15" s="125">
        <f t="shared" si="11"/>
        <v>5986.545074625553</v>
      </c>
      <c r="AC15" s="195">
        <f t="shared" si="13"/>
        <v>72490.41276905037</v>
      </c>
      <c r="AD15" s="127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95">
        <f t="shared" si="14"/>
        <v>0</v>
      </c>
      <c r="AQ15" s="197">
        <f t="shared" si="15"/>
        <v>86549.16276905037</v>
      </c>
    </row>
    <row r="16" spans="1:43" ht="12" customHeight="1">
      <c r="A16" s="10">
        <v>10</v>
      </c>
      <c r="B16" s="9" t="s">
        <v>116</v>
      </c>
      <c r="C16" s="123">
        <v>3441.3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>
        <v>6240</v>
      </c>
      <c r="P16" s="194">
        <f t="shared" si="12"/>
        <v>6240</v>
      </c>
      <c r="Q16" s="127">
        <f t="shared" si="0"/>
        <v>4260.645923520266</v>
      </c>
      <c r="R16" s="125">
        <f t="shared" si="1"/>
        <v>4260.645827756975</v>
      </c>
      <c r="S16" s="125">
        <f t="shared" si="2"/>
        <v>4158.858801983115</v>
      </c>
      <c r="T16" s="125">
        <f t="shared" si="3"/>
        <v>4260.645829144699</v>
      </c>
      <c r="U16" s="125">
        <f t="shared" si="4"/>
        <v>4132.8713196943</v>
      </c>
      <c r="V16" s="125">
        <f t="shared" si="5"/>
        <v>4260.62518015156</v>
      </c>
      <c r="W16" s="125">
        <f t="shared" si="6"/>
        <v>4260.645991140325</v>
      </c>
      <c r="X16" s="125">
        <f t="shared" si="7"/>
        <v>4260.645895321595</v>
      </c>
      <c r="Y16" s="125">
        <f t="shared" si="8"/>
        <v>4199.155522770598</v>
      </c>
      <c r="Z16" s="125">
        <f t="shared" si="9"/>
        <v>4107.413472606441</v>
      </c>
      <c r="AA16" s="125">
        <f t="shared" si="10"/>
        <v>4260.645866090082</v>
      </c>
      <c r="AB16" s="125">
        <f t="shared" si="11"/>
        <v>4178.887516036617</v>
      </c>
      <c r="AC16" s="195">
        <f t="shared" si="13"/>
        <v>50601.68714621657</v>
      </c>
      <c r="AD16" s="127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95">
        <f t="shared" si="14"/>
        <v>0</v>
      </c>
      <c r="AQ16" s="197">
        <f t="shared" si="15"/>
        <v>56841.68714621657</v>
      </c>
    </row>
    <row r="17" spans="1:43" ht="12" customHeight="1">
      <c r="A17" s="10">
        <v>11</v>
      </c>
      <c r="B17" s="9" t="s">
        <v>117</v>
      </c>
      <c r="C17" s="123">
        <v>3344.9</v>
      </c>
      <c r="D17" s="125"/>
      <c r="E17" s="125"/>
      <c r="F17" s="125">
        <v>15637.49</v>
      </c>
      <c r="G17" s="125"/>
      <c r="H17" s="125"/>
      <c r="I17" s="125"/>
      <c r="J17" s="125"/>
      <c r="K17" s="125"/>
      <c r="L17" s="125"/>
      <c r="M17" s="125"/>
      <c r="N17" s="125"/>
      <c r="O17" s="125">
        <v>12480</v>
      </c>
      <c r="P17" s="194">
        <f t="shared" si="12"/>
        <v>28117.489999999998</v>
      </c>
      <c r="Q17" s="127">
        <f t="shared" si="0"/>
        <v>4141.293856851462</v>
      </c>
      <c r="R17" s="125">
        <f t="shared" si="1"/>
        <v>4141.293763770758</v>
      </c>
      <c r="S17" s="125">
        <f t="shared" si="2"/>
        <v>4042.3580643225873</v>
      </c>
      <c r="T17" s="125">
        <f t="shared" si="3"/>
        <v>4141.293765119607</v>
      </c>
      <c r="U17" s="125">
        <f t="shared" si="4"/>
        <v>4017.0985607896614</v>
      </c>
      <c r="V17" s="125">
        <f t="shared" si="5"/>
        <v>4141.273694559891</v>
      </c>
      <c r="W17" s="125">
        <f t="shared" si="6"/>
        <v>4141.293922577303</v>
      </c>
      <c r="X17" s="125">
        <f t="shared" si="7"/>
        <v>4141.293829442711</v>
      </c>
      <c r="Y17" s="125">
        <f t="shared" si="8"/>
        <v>4081.5259663834513</v>
      </c>
      <c r="Z17" s="125">
        <f t="shared" si="9"/>
        <v>3992.353855961783</v>
      </c>
      <c r="AA17" s="125">
        <f t="shared" si="10"/>
        <v>4141.29380103005</v>
      </c>
      <c r="AB17" s="125">
        <f t="shared" si="11"/>
        <v>4061.825720626182</v>
      </c>
      <c r="AC17" s="195">
        <f t="shared" si="13"/>
        <v>49184.19880143545</v>
      </c>
      <c r="AD17" s="127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95">
        <f t="shared" si="14"/>
        <v>0</v>
      </c>
      <c r="AQ17" s="197">
        <f t="shared" si="15"/>
        <v>77301.68880143545</v>
      </c>
    </row>
    <row r="18" spans="1:43" ht="12" customHeight="1">
      <c r="A18" s="10">
        <v>12</v>
      </c>
      <c r="B18" s="9" t="s">
        <v>118</v>
      </c>
      <c r="C18" s="123">
        <v>5019.5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>
        <v>6240</v>
      </c>
      <c r="P18" s="194">
        <f t="shared" si="12"/>
        <v>6240</v>
      </c>
      <c r="Q18" s="127">
        <f t="shared" si="0"/>
        <v>6214.602683029661</v>
      </c>
      <c r="R18" s="125">
        <f t="shared" si="1"/>
        <v>6214.602543348776</v>
      </c>
      <c r="S18" s="125">
        <f t="shared" si="2"/>
        <v>6066.135401317595</v>
      </c>
      <c r="T18" s="125">
        <f t="shared" si="3"/>
        <v>6214.602545372915</v>
      </c>
      <c r="U18" s="125">
        <f t="shared" si="4"/>
        <v>6028.22990997749</v>
      </c>
      <c r="V18" s="125">
        <f t="shared" si="5"/>
        <v>6214.572426632598</v>
      </c>
      <c r="W18" s="125">
        <f t="shared" si="6"/>
        <v>6214.602781660668</v>
      </c>
      <c r="X18" s="125">
        <f t="shared" si="7"/>
        <v>6214.602641898918</v>
      </c>
      <c r="Y18" s="125">
        <f t="shared" si="8"/>
        <v>6124.912430345222</v>
      </c>
      <c r="Z18" s="125">
        <f t="shared" si="9"/>
        <v>5991.096947591907</v>
      </c>
      <c r="AA18" s="125">
        <f t="shared" si="10"/>
        <v>6214.602599261663</v>
      </c>
      <c r="AB18" s="125">
        <f t="shared" si="11"/>
        <v>6095.349398990438</v>
      </c>
      <c r="AC18" s="195">
        <f t="shared" si="13"/>
        <v>73807.91230942785</v>
      </c>
      <c r="AD18" s="127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95">
        <f t="shared" si="14"/>
        <v>0</v>
      </c>
      <c r="AQ18" s="197">
        <f t="shared" si="15"/>
        <v>80047.91230942785</v>
      </c>
    </row>
    <row r="19" spans="1:43" ht="12" customHeight="1">
      <c r="A19" s="10">
        <v>13</v>
      </c>
      <c r="B19" s="9" t="s">
        <v>119</v>
      </c>
      <c r="C19" s="123">
        <v>4951.3</v>
      </c>
      <c r="D19" s="134"/>
      <c r="E19" s="125"/>
      <c r="F19" s="125"/>
      <c r="G19" s="125"/>
      <c r="H19" s="179">
        <v>1176.33</v>
      </c>
      <c r="I19" s="125"/>
      <c r="J19" s="125"/>
      <c r="K19" s="125"/>
      <c r="L19" s="125"/>
      <c r="M19" s="125">
        <v>2394.59</v>
      </c>
      <c r="N19" s="125"/>
      <c r="O19" s="125"/>
      <c r="P19" s="194">
        <f t="shared" si="12"/>
        <v>3570.92</v>
      </c>
      <c r="Q19" s="127">
        <f t="shared" si="0"/>
        <v>6130.164810137417</v>
      </c>
      <c r="R19" s="125">
        <f t="shared" si="1"/>
        <v>6130.164672354376</v>
      </c>
      <c r="S19" s="125">
        <f t="shared" si="2"/>
        <v>5983.714754964401</v>
      </c>
      <c r="T19" s="125">
        <f t="shared" si="3"/>
        <v>6130.164674351015</v>
      </c>
      <c r="U19" s="125">
        <f t="shared" si="4"/>
        <v>5946.324285939147</v>
      </c>
      <c r="V19" s="125">
        <f t="shared" si="5"/>
        <v>6130.134964834342</v>
      </c>
      <c r="W19" s="125">
        <f t="shared" si="6"/>
        <v>6130.164907428324</v>
      </c>
      <c r="X19" s="125">
        <f t="shared" si="7"/>
        <v>6130.1647695655165</v>
      </c>
      <c r="Y19" s="125">
        <f t="shared" si="8"/>
        <v>6041.693179872158</v>
      </c>
      <c r="Z19" s="125">
        <f t="shared" si="9"/>
        <v>5909.695849509276</v>
      </c>
      <c r="AA19" s="125">
        <f t="shared" si="10"/>
        <v>6130.164727507575</v>
      </c>
      <c r="AB19" s="125">
        <f t="shared" si="11"/>
        <v>6012.531821739488</v>
      </c>
      <c r="AC19" s="195">
        <f t="shared" si="13"/>
        <v>72805.08341820304</v>
      </c>
      <c r="AD19" s="127"/>
      <c r="AE19" s="125"/>
      <c r="AF19" s="125"/>
      <c r="AG19" s="125"/>
      <c r="AH19" s="125">
        <v>10954</v>
      </c>
      <c r="AI19" s="125"/>
      <c r="AJ19" s="125"/>
      <c r="AK19" s="125"/>
      <c r="AL19" s="125"/>
      <c r="AM19" s="125"/>
      <c r="AN19" s="125"/>
      <c r="AO19" s="125"/>
      <c r="AP19" s="195">
        <f t="shared" si="14"/>
        <v>10954</v>
      </c>
      <c r="AQ19" s="197">
        <f t="shared" si="15"/>
        <v>87330.00341820304</v>
      </c>
    </row>
    <row r="20" spans="1:43" ht="12" customHeight="1">
      <c r="A20" s="10">
        <v>14</v>
      </c>
      <c r="B20" s="9" t="s">
        <v>120</v>
      </c>
      <c r="C20" s="123">
        <v>3429.2</v>
      </c>
      <c r="D20" s="134"/>
      <c r="E20" s="125"/>
      <c r="F20" s="125">
        <f>7818.75</f>
        <v>7818.75</v>
      </c>
      <c r="G20" s="125"/>
      <c r="H20" s="125"/>
      <c r="I20" s="125"/>
      <c r="J20" s="125"/>
      <c r="K20" s="125"/>
      <c r="L20" s="125">
        <v>2219.54</v>
      </c>
      <c r="M20" s="125"/>
      <c r="N20" s="125"/>
      <c r="O20" s="125">
        <v>6240</v>
      </c>
      <c r="P20" s="194">
        <f t="shared" si="12"/>
        <v>16278.29</v>
      </c>
      <c r="Q20" s="127">
        <f t="shared" si="0"/>
        <v>4245.66501058777</v>
      </c>
      <c r="R20" s="125">
        <f t="shared" si="1"/>
        <v>4245.664915161195</v>
      </c>
      <c r="S20" s="125">
        <f t="shared" si="2"/>
        <v>4144.235784081741</v>
      </c>
      <c r="T20" s="125">
        <f t="shared" si="3"/>
        <v>4245.6649165440385</v>
      </c>
      <c r="U20" s="125">
        <f t="shared" si="4"/>
        <v>4118.339676719755</v>
      </c>
      <c r="V20" s="125">
        <f t="shared" si="5"/>
        <v>4245.644340155095</v>
      </c>
      <c r="W20" s="125">
        <f t="shared" si="6"/>
        <v>4245.66507797007</v>
      </c>
      <c r="X20" s="125">
        <f t="shared" si="7"/>
        <v>4245.664982488249</v>
      </c>
      <c r="Y20" s="125">
        <f t="shared" si="8"/>
        <v>4184.390817041505</v>
      </c>
      <c r="Z20" s="125">
        <f t="shared" si="9"/>
        <v>4092.9713423014573</v>
      </c>
      <c r="AA20" s="125">
        <f t="shared" si="10"/>
        <v>4245.664953359516</v>
      </c>
      <c r="AB20" s="125">
        <f t="shared" si="11"/>
        <v>4164.194074911447</v>
      </c>
      <c r="AC20" s="195">
        <f t="shared" si="13"/>
        <v>50423.76589132185</v>
      </c>
      <c r="AD20" s="127">
        <f>7302.77</f>
        <v>7302.77</v>
      </c>
      <c r="AE20" s="125"/>
      <c r="AF20" s="125"/>
      <c r="AG20" s="125"/>
      <c r="AH20" s="125"/>
      <c r="AI20" s="125"/>
      <c r="AJ20" s="125"/>
      <c r="AK20" s="125"/>
      <c r="AL20" s="125">
        <v>7302.77</v>
      </c>
      <c r="AM20" s="125"/>
      <c r="AN20" s="125"/>
      <c r="AO20" s="125"/>
      <c r="AP20" s="195">
        <f t="shared" si="14"/>
        <v>14605.54</v>
      </c>
      <c r="AQ20" s="197">
        <f t="shared" si="15"/>
        <v>81307.59589132186</v>
      </c>
    </row>
    <row r="21" spans="1:43" s="43" customFormat="1" ht="12" customHeight="1" thickBot="1">
      <c r="A21" s="23">
        <v>14</v>
      </c>
      <c r="B21" s="12" t="s">
        <v>3</v>
      </c>
      <c r="C21" s="133">
        <f aca="true" t="shared" si="16" ref="C21:AQ21">SUM(C7:C20)</f>
        <v>61860.100000000006</v>
      </c>
      <c r="D21" s="135">
        <f t="shared" si="16"/>
        <v>975.32</v>
      </c>
      <c r="E21" s="135">
        <f t="shared" si="16"/>
        <v>3539.48</v>
      </c>
      <c r="F21" s="135">
        <f t="shared" si="16"/>
        <v>46912.49</v>
      </c>
      <c r="G21" s="135">
        <f t="shared" si="16"/>
        <v>0</v>
      </c>
      <c r="H21" s="135">
        <f t="shared" si="16"/>
        <v>1812.82</v>
      </c>
      <c r="I21" s="135">
        <f t="shared" si="16"/>
        <v>2114.89</v>
      </c>
      <c r="J21" s="135">
        <f>SUM(J7:J20)</f>
        <v>0</v>
      </c>
      <c r="K21" s="135">
        <f t="shared" si="16"/>
        <v>4833.05</v>
      </c>
      <c r="L21" s="135">
        <f t="shared" si="16"/>
        <v>88022.72</v>
      </c>
      <c r="M21" s="135">
        <f t="shared" si="16"/>
        <v>2394.59</v>
      </c>
      <c r="N21" s="135">
        <f t="shared" si="16"/>
        <v>0</v>
      </c>
      <c r="O21" s="135">
        <f t="shared" si="16"/>
        <v>82516.98999999999</v>
      </c>
      <c r="P21" s="202">
        <f t="shared" si="16"/>
        <v>233122.35</v>
      </c>
      <c r="Q21" s="136">
        <f t="shared" si="16"/>
        <v>76588.49356160636</v>
      </c>
      <c r="R21" s="162">
        <f t="shared" si="16"/>
        <v>76588.4918401852</v>
      </c>
      <c r="S21" s="162">
        <f t="shared" si="16"/>
        <v>74758.78922981306</v>
      </c>
      <c r="T21" s="162">
        <f t="shared" si="16"/>
        <v>76588.4918651306</v>
      </c>
      <c r="U21" s="162">
        <f t="shared" si="16"/>
        <v>74291.6436007966</v>
      </c>
      <c r="V21" s="162">
        <f t="shared" si="16"/>
        <v>76588.120683083</v>
      </c>
      <c r="W21" s="162">
        <f t="shared" si="16"/>
        <v>76588.49477713062</v>
      </c>
      <c r="X21" s="162">
        <f t="shared" si="16"/>
        <v>76588.49305471288</v>
      </c>
      <c r="Y21" s="162">
        <f t="shared" si="16"/>
        <v>75483.15478282668</v>
      </c>
      <c r="Z21" s="162">
        <f t="shared" si="16"/>
        <v>73834.01858506427</v>
      </c>
      <c r="AA21" s="162">
        <f t="shared" si="16"/>
        <v>76588.49252925321</v>
      </c>
      <c r="AB21" s="162">
        <f t="shared" si="16"/>
        <v>75118.82126835111</v>
      </c>
      <c r="AC21" s="204">
        <f t="shared" si="16"/>
        <v>909605.5057779535</v>
      </c>
      <c r="AD21" s="136">
        <f t="shared" si="16"/>
        <v>7302.77</v>
      </c>
      <c r="AE21" s="162">
        <f t="shared" si="16"/>
        <v>9128.47</v>
      </c>
      <c r="AF21" s="162">
        <f t="shared" si="16"/>
        <v>0</v>
      </c>
      <c r="AG21" s="162">
        <f t="shared" si="16"/>
        <v>0</v>
      </c>
      <c r="AH21" s="162">
        <f t="shared" si="16"/>
        <v>10954</v>
      </c>
      <c r="AI21" s="162">
        <f t="shared" si="16"/>
        <v>0</v>
      </c>
      <c r="AJ21" s="162">
        <f t="shared" si="16"/>
        <v>0</v>
      </c>
      <c r="AK21" s="162">
        <f t="shared" si="16"/>
        <v>9128.47</v>
      </c>
      <c r="AL21" s="162">
        <f t="shared" si="16"/>
        <v>28754.670000000002</v>
      </c>
      <c r="AM21" s="162">
        <f t="shared" si="16"/>
        <v>0</v>
      </c>
      <c r="AN21" s="162">
        <f t="shared" si="16"/>
        <v>0</v>
      </c>
      <c r="AO21" s="162">
        <f t="shared" si="16"/>
        <v>9128.47</v>
      </c>
      <c r="AP21" s="204">
        <f t="shared" si="16"/>
        <v>74396.85</v>
      </c>
      <c r="AQ21" s="198">
        <f t="shared" si="16"/>
        <v>1217124.7057779534</v>
      </c>
    </row>
    <row r="23" s="259" customFormat="1" ht="9.75">
      <c r="A23" s="258"/>
    </row>
    <row r="24" s="73" customFormat="1" ht="9.75">
      <c r="A24" s="51"/>
    </row>
    <row r="25" spans="1:47" ht="11.25" customHeight="1">
      <c r="A25" s="51"/>
      <c r="B25" s="116" t="s">
        <v>114</v>
      </c>
      <c r="C25" s="250" t="s">
        <v>185</v>
      </c>
      <c r="D25" s="250"/>
      <c r="E25" s="250"/>
      <c r="F25" s="250"/>
      <c r="G25" s="250"/>
      <c r="H25" s="250"/>
      <c r="I25" s="250"/>
      <c r="J25" s="157">
        <v>975.32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3" ht="9.75">
      <c r="A26" s="51"/>
      <c r="B26" s="117" t="s">
        <v>110</v>
      </c>
      <c r="C26" s="250" t="s">
        <v>185</v>
      </c>
      <c r="D26" s="250"/>
      <c r="E26" s="250"/>
      <c r="F26" s="250"/>
      <c r="G26" s="250"/>
      <c r="H26" s="250"/>
      <c r="I26" s="250"/>
      <c r="J26" s="158">
        <v>3539.48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ht="9.75">
      <c r="A27" s="51"/>
      <c r="B27" s="117" t="s">
        <v>120</v>
      </c>
      <c r="C27" s="248" t="s">
        <v>211</v>
      </c>
      <c r="D27" s="248"/>
      <c r="E27" s="248"/>
      <c r="F27" s="248"/>
      <c r="G27" s="248"/>
      <c r="H27" s="248"/>
      <c r="I27" s="248"/>
      <c r="J27" s="158">
        <v>7818.75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4" ht="11.25" customHeight="1">
      <c r="A28" s="51"/>
      <c r="B28" s="116" t="s">
        <v>109</v>
      </c>
      <c r="C28" s="250" t="s">
        <v>211</v>
      </c>
      <c r="D28" s="250"/>
      <c r="E28" s="250"/>
      <c r="F28" s="250"/>
      <c r="G28" s="250"/>
      <c r="H28" s="250"/>
      <c r="I28" s="250"/>
      <c r="J28" s="173">
        <v>7818.75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</row>
    <row r="29" spans="1:33" ht="9.75">
      <c r="A29" s="51"/>
      <c r="B29" s="117" t="s">
        <v>114</v>
      </c>
      <c r="C29" s="248" t="s">
        <v>211</v>
      </c>
      <c r="D29" s="248"/>
      <c r="E29" s="248"/>
      <c r="F29" s="248"/>
      <c r="G29" s="248"/>
      <c r="H29" s="248"/>
      <c r="I29" s="248"/>
      <c r="J29" s="186">
        <f>7818.75</f>
        <v>7818.75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10" ht="9.75">
      <c r="A30" s="51"/>
      <c r="B30" s="117" t="s">
        <v>115</v>
      </c>
      <c r="C30" s="248" t="s">
        <v>211</v>
      </c>
      <c r="D30" s="248"/>
      <c r="E30" s="248"/>
      <c r="F30" s="248"/>
      <c r="G30" s="248"/>
      <c r="H30" s="248"/>
      <c r="I30" s="248"/>
      <c r="J30" s="156">
        <f>7818.75</f>
        <v>7818.75</v>
      </c>
    </row>
    <row r="31" spans="1:50" ht="11.25" customHeight="1">
      <c r="A31" s="51"/>
      <c r="B31" s="171" t="s">
        <v>117</v>
      </c>
      <c r="C31" s="240" t="s">
        <v>216</v>
      </c>
      <c r="D31" s="240"/>
      <c r="E31" s="240"/>
      <c r="F31" s="240"/>
      <c r="G31" s="240"/>
      <c r="H31" s="240"/>
      <c r="I31" s="240"/>
      <c r="J31" s="173">
        <v>15637.49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</row>
    <row r="32" spans="1:10" ht="9.75">
      <c r="A32" s="51"/>
      <c r="B32" s="168" t="s">
        <v>109</v>
      </c>
      <c r="C32" s="240" t="s">
        <v>239</v>
      </c>
      <c r="D32" s="240"/>
      <c r="E32" s="240"/>
      <c r="F32" s="240"/>
      <c r="G32" s="240"/>
      <c r="H32" s="240"/>
      <c r="I32" s="240"/>
      <c r="J32" s="175">
        <v>636.49</v>
      </c>
    </row>
    <row r="33" spans="1:10" ht="9.75">
      <c r="A33" s="51"/>
      <c r="B33" s="168" t="s">
        <v>119</v>
      </c>
      <c r="C33" s="240" t="s">
        <v>242</v>
      </c>
      <c r="D33" s="240"/>
      <c r="E33" s="240"/>
      <c r="F33" s="240"/>
      <c r="G33" s="240"/>
      <c r="H33" s="240"/>
      <c r="I33" s="240"/>
      <c r="J33" s="175">
        <v>1176.33</v>
      </c>
    </row>
    <row r="34" spans="1:42" ht="9.75" customHeight="1">
      <c r="A34" s="51"/>
      <c r="B34" s="118" t="s">
        <v>253</v>
      </c>
      <c r="C34" s="241" t="s">
        <v>254</v>
      </c>
      <c r="D34" s="241"/>
      <c r="E34" s="241"/>
      <c r="F34" s="241"/>
      <c r="G34" s="241"/>
      <c r="H34" s="241"/>
      <c r="I34" s="241"/>
      <c r="J34" s="232">
        <v>2114.89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</row>
    <row r="35" spans="1:45" ht="11.25" customHeight="1">
      <c r="A35" s="51"/>
      <c r="B35" s="118" t="s">
        <v>273</v>
      </c>
      <c r="C35" s="241" t="s">
        <v>274</v>
      </c>
      <c r="D35" s="241"/>
      <c r="E35" s="241"/>
      <c r="F35" s="241"/>
      <c r="G35" s="241"/>
      <c r="H35" s="241"/>
      <c r="I35" s="241"/>
      <c r="J35" s="229">
        <v>4833.05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6" ht="11.25" customHeight="1">
      <c r="A36" s="51"/>
      <c r="B36" s="118" t="s">
        <v>120</v>
      </c>
      <c r="C36" s="241" t="s">
        <v>286</v>
      </c>
      <c r="D36" s="241"/>
      <c r="E36" s="241"/>
      <c r="F36" s="241"/>
      <c r="G36" s="241"/>
      <c r="H36" s="241"/>
      <c r="I36" s="241"/>
      <c r="J36" s="229">
        <v>2219.54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</row>
    <row r="37" spans="1:44" ht="11.25" customHeight="1">
      <c r="A37" s="51"/>
      <c r="B37" s="118" t="s">
        <v>109</v>
      </c>
      <c r="C37" s="241" t="s">
        <v>288</v>
      </c>
      <c r="D37" s="241"/>
      <c r="E37" s="241"/>
      <c r="F37" s="241"/>
      <c r="G37" s="241"/>
      <c r="H37" s="241"/>
      <c r="I37" s="241"/>
      <c r="J37" s="229">
        <v>5581.71</v>
      </c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</row>
    <row r="38" spans="2:44" ht="11.25" customHeight="1">
      <c r="B38" s="118" t="s">
        <v>114</v>
      </c>
      <c r="C38" s="241" t="s">
        <v>291</v>
      </c>
      <c r="D38" s="241"/>
      <c r="E38" s="241"/>
      <c r="F38" s="241"/>
      <c r="G38" s="241"/>
      <c r="H38" s="241"/>
      <c r="I38" s="241"/>
      <c r="J38" s="229">
        <v>80221.47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</row>
    <row r="39" spans="2:43" ht="11.25" customHeight="1">
      <c r="B39" s="118" t="s">
        <v>119</v>
      </c>
      <c r="C39" s="241" t="s">
        <v>298</v>
      </c>
      <c r="D39" s="241"/>
      <c r="E39" s="241"/>
      <c r="F39" s="241"/>
      <c r="G39" s="241"/>
      <c r="H39" s="241"/>
      <c r="I39" s="241"/>
      <c r="J39" s="229">
        <v>2394.59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</row>
    <row r="40" spans="2:44" ht="11.25" customHeight="1">
      <c r="B40" s="116" t="s">
        <v>113</v>
      </c>
      <c r="C40" s="241" t="s">
        <v>294</v>
      </c>
      <c r="D40" s="241"/>
      <c r="E40" s="241"/>
      <c r="F40" s="241"/>
      <c r="G40" s="241"/>
      <c r="H40" s="241"/>
      <c r="I40" s="241"/>
      <c r="J40" s="229">
        <v>1396.99</v>
      </c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</row>
    <row r="41" spans="2:47" ht="11.25" customHeight="1">
      <c r="B41" s="116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</row>
    <row r="42" spans="2:43" ht="11.25" customHeight="1">
      <c r="B42" s="116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</row>
  </sheetData>
  <sheetProtection/>
  <autoFilter ref="A1:I5"/>
  <mergeCells count="22">
    <mergeCell ref="C31:I31"/>
    <mergeCell ref="C32:I32"/>
    <mergeCell ref="C33:I33"/>
    <mergeCell ref="A23:IV23"/>
    <mergeCell ref="A2:AQ2"/>
    <mergeCell ref="AD5:AP5"/>
    <mergeCell ref="Q5:AC5"/>
    <mergeCell ref="A4:I4"/>
    <mergeCell ref="D5:P5"/>
    <mergeCell ref="C25:I25"/>
    <mergeCell ref="C26:I26"/>
    <mergeCell ref="C27:I27"/>
    <mergeCell ref="C28:I28"/>
    <mergeCell ref="C29:I29"/>
    <mergeCell ref="C30:I30"/>
    <mergeCell ref="C40:I40"/>
    <mergeCell ref="C34:I34"/>
    <mergeCell ref="C35:I35"/>
    <mergeCell ref="C36:I36"/>
    <mergeCell ref="C37:I37"/>
    <mergeCell ref="C38:I38"/>
    <mergeCell ref="C39:I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Q2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0" sqref="O10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28125" style="26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bestFit="1" customWidth="1"/>
    <col min="30" max="41" width="9.28125" style="0" customWidth="1"/>
    <col min="42" max="42" width="10.00390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38"/>
      <c r="B6" s="39" t="s">
        <v>102</v>
      </c>
      <c r="C6" s="38"/>
      <c r="D6" s="40" t="s">
        <v>42</v>
      </c>
      <c r="E6" s="40" t="s">
        <v>80</v>
      </c>
      <c r="F6" s="40" t="s">
        <v>44</v>
      </c>
      <c r="G6" s="40" t="s">
        <v>45</v>
      </c>
      <c r="H6" s="40" t="s">
        <v>46</v>
      </c>
      <c r="I6" s="40" t="s">
        <v>47</v>
      </c>
      <c r="J6" s="40" t="s">
        <v>48</v>
      </c>
      <c r="K6" s="40" t="s">
        <v>49</v>
      </c>
      <c r="L6" s="40" t="s">
        <v>50</v>
      </c>
      <c r="M6" s="40" t="s">
        <v>51</v>
      </c>
      <c r="N6" s="40" t="s">
        <v>52</v>
      </c>
      <c r="O6" s="40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29" t="s">
        <v>45</v>
      </c>
      <c r="U6" s="29" t="s">
        <v>46</v>
      </c>
      <c r="V6" s="29" t="s">
        <v>47</v>
      </c>
      <c r="W6" s="29" t="s">
        <v>48</v>
      </c>
      <c r="X6" s="29" t="s">
        <v>49</v>
      </c>
      <c r="Y6" s="34" t="s">
        <v>50</v>
      </c>
      <c r="Z6" s="29" t="s">
        <v>51</v>
      </c>
      <c r="AA6" s="29" t="s">
        <v>52</v>
      </c>
      <c r="AB6" s="29" t="s">
        <v>53</v>
      </c>
      <c r="AC6" s="93" t="s">
        <v>54</v>
      </c>
      <c r="AD6" s="94" t="s">
        <v>42</v>
      </c>
      <c r="AE6" s="29" t="s">
        <v>43</v>
      </c>
      <c r="AF6" s="29" t="s">
        <v>44</v>
      </c>
      <c r="AG6" s="29" t="s">
        <v>45</v>
      </c>
      <c r="AH6" s="29" t="s">
        <v>46</v>
      </c>
      <c r="AI6" s="29" t="s">
        <v>47</v>
      </c>
      <c r="AJ6" s="29" t="s">
        <v>48</v>
      </c>
      <c r="AK6" s="29" t="s">
        <v>49</v>
      </c>
      <c r="AL6" s="29" t="s">
        <v>50</v>
      </c>
      <c r="AM6" s="29" t="s">
        <v>51</v>
      </c>
      <c r="AN6" s="29" t="s">
        <v>52</v>
      </c>
      <c r="AO6" s="29" t="s">
        <v>53</v>
      </c>
      <c r="AP6" s="93" t="s">
        <v>54</v>
      </c>
      <c r="AQ6" s="96"/>
    </row>
    <row r="7" spans="1:43" ht="12" customHeight="1">
      <c r="A7" s="10">
        <v>1</v>
      </c>
      <c r="B7" s="9" t="s">
        <v>103</v>
      </c>
      <c r="C7" s="123">
        <v>1757.1</v>
      </c>
      <c r="D7" s="125">
        <f>2866.26</f>
        <v>2866.26</v>
      </c>
      <c r="E7" s="125"/>
      <c r="F7" s="125"/>
      <c r="G7" s="125"/>
      <c r="H7" s="125"/>
      <c r="I7" s="125"/>
      <c r="J7" s="125">
        <f>4110.06+13775.92</f>
        <v>17885.98</v>
      </c>
      <c r="K7" s="125"/>
      <c r="L7" s="125"/>
      <c r="M7" s="125"/>
      <c r="N7" s="125"/>
      <c r="O7" s="125">
        <v>6240</v>
      </c>
      <c r="P7" s="194">
        <f>SUM(D7:O7)</f>
        <v>26992.239999999998</v>
      </c>
      <c r="Q7" s="127">
        <f>C7*593690.15/479520.23</f>
        <v>2175.4514143543015</v>
      </c>
      <c r="R7" s="125">
        <f>C7*593686.15/479517.01</f>
        <v>2175.451365458339</v>
      </c>
      <c r="S7" s="125">
        <f>C7*579500.06/479514.61</f>
        <v>2123.4797317770986</v>
      </c>
      <c r="T7" s="125">
        <f>C7*593938.3/479720.67</f>
        <v>2175.451366166899</v>
      </c>
      <c r="U7" s="125">
        <f>C7*576132.29/479725.57</f>
        <v>2110.2107331051793</v>
      </c>
      <c r="V7" s="125">
        <f>C7*593946.23/479729.4</f>
        <v>2175.440822957692</v>
      </c>
      <c r="W7" s="125">
        <f>C7*594015.27/479782.82</f>
        <v>2175.451448880558</v>
      </c>
      <c r="X7" s="125">
        <f>C7*594005.55/479774.98</f>
        <v>2175.451399956288</v>
      </c>
      <c r="Y7" s="125">
        <f>C7*585421.9/479766.08</f>
        <v>2144.0549121146705</v>
      </c>
      <c r="Z7" s="125">
        <f>C7*572643.93/479776.28</f>
        <v>2097.2121618913716</v>
      </c>
      <c r="AA7" s="125">
        <f>C7*588687.52/475479.64</f>
        <v>2175.451385030913</v>
      </c>
      <c r="AB7" s="125">
        <f>C7*577403.59/475489.94</f>
        <v>2133.7062314904074</v>
      </c>
      <c r="AC7" s="195">
        <f>SUM(Q7:AB7)</f>
        <v>25836.812973183718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0</v>
      </c>
      <c r="AQ7" s="197">
        <f>P7+AC7+AP7</f>
        <v>52829.052973183716</v>
      </c>
    </row>
    <row r="8" spans="1:43" ht="12" customHeight="1">
      <c r="A8" s="10">
        <v>2</v>
      </c>
      <c r="B8" s="9" t="s">
        <v>104</v>
      </c>
      <c r="C8" s="123">
        <v>2008.3</v>
      </c>
      <c r="D8" s="125"/>
      <c r="E8" s="125"/>
      <c r="F8" s="125"/>
      <c r="G8" s="125">
        <v>928.89</v>
      </c>
      <c r="H8" s="125"/>
      <c r="I8" s="125"/>
      <c r="J8" s="125">
        <f>4110.06+15688.57</f>
        <v>19798.63</v>
      </c>
      <c r="K8" s="125"/>
      <c r="L8" s="125"/>
      <c r="M8" s="125"/>
      <c r="N8" s="125"/>
      <c r="O8" s="125">
        <v>6240</v>
      </c>
      <c r="P8" s="194">
        <f>SUM(D8:O8)</f>
        <v>26967.52</v>
      </c>
      <c r="Q8" s="127">
        <f>C8*593690.15/479520.23</f>
        <v>2486.460119200811</v>
      </c>
      <c r="R8" s="125">
        <f>C8*593686.15/479517.01</f>
        <v>2486.4600633145424</v>
      </c>
      <c r="S8" s="125">
        <f>C8*579500.06/479514.61</f>
        <v>2427.0584174651117</v>
      </c>
      <c r="T8" s="125">
        <f>C8*593938.3/479720.67</f>
        <v>2486.4600641244</v>
      </c>
      <c r="U8" s="125">
        <f>C8*576132.29/479725.57</f>
        <v>2411.8924451056464</v>
      </c>
      <c r="V8" s="125">
        <f>C8*593946.23/479729.4</f>
        <v>2486.448013628099</v>
      </c>
      <c r="W8" s="125">
        <f>C8*594015.27/479782.82</f>
        <v>2486.4601586630383</v>
      </c>
      <c r="X8" s="125">
        <f>C8*594005.55/479774.98</f>
        <v>2486.460102744416</v>
      </c>
      <c r="Y8" s="125">
        <f>C8*585421.9/479766.08</f>
        <v>2450.5750839450757</v>
      </c>
      <c r="Z8" s="125">
        <f>C8*572643.93/479776.28</f>
        <v>2397.0355612807703</v>
      </c>
      <c r="AA8" s="125">
        <f>C8*588687.52/475479.64</f>
        <v>2486.4600856852676</v>
      </c>
      <c r="AB8" s="125">
        <f>C8*577403.59/475489.94</f>
        <v>2438.746926584819</v>
      </c>
      <c r="AC8" s="195">
        <f>SUM(Q8:AB8)</f>
        <v>29530.51704174199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>SUM(AD8:AO8)</f>
        <v>0</v>
      </c>
      <c r="AQ8" s="197">
        <f>P8+AC8+AP8</f>
        <v>56498.03704174199</v>
      </c>
    </row>
    <row r="9" spans="1:43" ht="12" customHeight="1">
      <c r="A9" s="10">
        <v>3</v>
      </c>
      <c r="B9" s="9" t="s">
        <v>105</v>
      </c>
      <c r="C9" s="123">
        <v>2204.5</v>
      </c>
      <c r="D9" s="125"/>
      <c r="E9" s="125"/>
      <c r="F9" s="125"/>
      <c r="G9" s="125"/>
      <c r="H9" s="125"/>
      <c r="I9" s="125"/>
      <c r="J9" s="125">
        <v>17209.93</v>
      </c>
      <c r="K9" s="125"/>
      <c r="L9" s="125"/>
      <c r="M9" s="125"/>
      <c r="N9" s="125"/>
      <c r="O9" s="125">
        <v>6240</v>
      </c>
      <c r="P9" s="194">
        <f>SUM(D9:O9)</f>
        <v>23449.93</v>
      </c>
      <c r="Q9" s="127">
        <f>C9*593690.15/479520.23</f>
        <v>2729.373765263251</v>
      </c>
      <c r="R9" s="125">
        <f>C9*593686.15/479517.01</f>
        <v>2729.373703917198</v>
      </c>
      <c r="S9" s="125">
        <f>C9*579500.06/479514.61</f>
        <v>2664.1688399650643</v>
      </c>
      <c r="T9" s="125">
        <f>C9*593938.3/479720.67</f>
        <v>2729.3737048061744</v>
      </c>
      <c r="U9" s="125">
        <f>C9*576132.29/479725.57</f>
        <v>2647.5212344945467</v>
      </c>
      <c r="V9" s="125">
        <f>C9*593946.23/479729.4</f>
        <v>2729.3604770418488</v>
      </c>
      <c r="W9" s="125">
        <f>C9*594015.27/479782.82</f>
        <v>2729.3738085807245</v>
      </c>
      <c r="X9" s="125">
        <f>C9*594005.55/479774.98</f>
        <v>2729.3737471991562</v>
      </c>
      <c r="Y9" s="125">
        <f>C9*585421.9/479766.08</f>
        <v>2689.982957006881</v>
      </c>
      <c r="Z9" s="125">
        <f>C9*572643.93/479776.28</f>
        <v>2631.2129138293376</v>
      </c>
      <c r="AA9" s="125">
        <f>C9*588687.52/475479.64</f>
        <v>2729.373728473421</v>
      </c>
      <c r="AB9" s="125">
        <f>C9*577403.59/475489.94</f>
        <v>2676.9992529284636</v>
      </c>
      <c r="AC9" s="195">
        <f>SUM(Q9:AB9)</f>
        <v>32415.488133506064</v>
      </c>
      <c r="AD9" s="127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>SUM(AD9:AO9)</f>
        <v>0</v>
      </c>
      <c r="AQ9" s="197">
        <f>P9+AC9+AP9</f>
        <v>55865.418133506064</v>
      </c>
    </row>
    <row r="10" spans="1:43" ht="12" customHeight="1" thickBot="1">
      <c r="A10" s="23">
        <v>3</v>
      </c>
      <c r="B10" s="12" t="s">
        <v>3</v>
      </c>
      <c r="C10" s="133">
        <f aca="true" t="shared" si="0" ref="C10:AQ10">SUM(C7:C9)</f>
        <v>5969.9</v>
      </c>
      <c r="D10" s="135">
        <f t="shared" si="0"/>
        <v>2866.26</v>
      </c>
      <c r="E10" s="135">
        <f t="shared" si="0"/>
        <v>0</v>
      </c>
      <c r="F10" s="135">
        <f t="shared" si="0"/>
        <v>0</v>
      </c>
      <c r="G10" s="135">
        <f t="shared" si="0"/>
        <v>928.89</v>
      </c>
      <c r="H10" s="135">
        <f t="shared" si="0"/>
        <v>0</v>
      </c>
      <c r="I10" s="135">
        <f t="shared" si="0"/>
        <v>0</v>
      </c>
      <c r="J10" s="135">
        <f t="shared" si="0"/>
        <v>54894.54</v>
      </c>
      <c r="K10" s="135">
        <f t="shared" si="0"/>
        <v>0</v>
      </c>
      <c r="L10" s="135">
        <f t="shared" si="0"/>
        <v>0</v>
      </c>
      <c r="M10" s="135">
        <f t="shared" si="0"/>
        <v>0</v>
      </c>
      <c r="N10" s="135">
        <f t="shared" si="0"/>
        <v>0</v>
      </c>
      <c r="O10" s="135">
        <f t="shared" si="0"/>
        <v>18720</v>
      </c>
      <c r="P10" s="202">
        <f t="shared" si="0"/>
        <v>77409.69</v>
      </c>
      <c r="Q10" s="136">
        <f t="shared" si="0"/>
        <v>7391.285298818363</v>
      </c>
      <c r="R10" s="162">
        <f t="shared" si="0"/>
        <v>7391.285132690078</v>
      </c>
      <c r="S10" s="162">
        <f t="shared" si="0"/>
        <v>7214.706989207274</v>
      </c>
      <c r="T10" s="162">
        <f t="shared" si="0"/>
        <v>7391.285135097472</v>
      </c>
      <c r="U10" s="162">
        <f t="shared" si="0"/>
        <v>7169.624412705372</v>
      </c>
      <c r="V10" s="162">
        <f t="shared" si="0"/>
        <v>7391.24931362764</v>
      </c>
      <c r="W10" s="162">
        <f t="shared" si="0"/>
        <v>7391.28541612432</v>
      </c>
      <c r="X10" s="162">
        <f t="shared" si="0"/>
        <v>7391.28524989986</v>
      </c>
      <c r="Y10" s="162">
        <f t="shared" si="0"/>
        <v>7284.612953066628</v>
      </c>
      <c r="Z10" s="162">
        <f t="shared" si="0"/>
        <v>7125.46063700148</v>
      </c>
      <c r="AA10" s="162">
        <f t="shared" si="0"/>
        <v>7391.285199189602</v>
      </c>
      <c r="AB10" s="162">
        <f t="shared" si="0"/>
        <v>7249.45241100369</v>
      </c>
      <c r="AC10" s="204">
        <f t="shared" si="0"/>
        <v>87782.81814843178</v>
      </c>
      <c r="AD10" s="136">
        <f t="shared" si="0"/>
        <v>0</v>
      </c>
      <c r="AE10" s="162">
        <f t="shared" si="0"/>
        <v>0</v>
      </c>
      <c r="AF10" s="162">
        <f t="shared" si="0"/>
        <v>0</v>
      </c>
      <c r="AG10" s="162">
        <f t="shared" si="0"/>
        <v>0</v>
      </c>
      <c r="AH10" s="162">
        <f t="shared" si="0"/>
        <v>0</v>
      </c>
      <c r="AI10" s="162">
        <f t="shared" si="0"/>
        <v>0</v>
      </c>
      <c r="AJ10" s="162">
        <f t="shared" si="0"/>
        <v>0</v>
      </c>
      <c r="AK10" s="162">
        <f t="shared" si="0"/>
        <v>0</v>
      </c>
      <c r="AL10" s="162">
        <f t="shared" si="0"/>
        <v>0</v>
      </c>
      <c r="AM10" s="162">
        <f t="shared" si="0"/>
        <v>0</v>
      </c>
      <c r="AN10" s="162">
        <f t="shared" si="0"/>
        <v>0</v>
      </c>
      <c r="AO10" s="162">
        <f t="shared" si="0"/>
        <v>0</v>
      </c>
      <c r="AP10" s="204">
        <f t="shared" si="0"/>
        <v>0</v>
      </c>
      <c r="AQ10" s="198">
        <f t="shared" si="0"/>
        <v>165192.50814843178</v>
      </c>
    </row>
    <row r="12" s="73" customFormat="1" ht="9.75">
      <c r="A12" s="51"/>
    </row>
    <row r="13" spans="1:43" s="76" customFormat="1" ht="12.75" customHeight="1">
      <c r="A13" s="51"/>
      <c r="B13" s="116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</row>
    <row r="14" spans="1:10" ht="12.75">
      <c r="A14" s="51"/>
      <c r="B14" s="46" t="s">
        <v>103</v>
      </c>
      <c r="C14" s="252" t="s">
        <v>196</v>
      </c>
      <c r="D14" s="252"/>
      <c r="E14" s="252"/>
      <c r="F14" s="252"/>
      <c r="G14" s="252"/>
      <c r="H14" s="252"/>
      <c r="I14" s="252"/>
      <c r="J14" s="225">
        <v>2866.26</v>
      </c>
    </row>
    <row r="15" spans="2:10" ht="12.75">
      <c r="B15" s="46" t="s">
        <v>104</v>
      </c>
      <c r="C15" s="252" t="s">
        <v>235</v>
      </c>
      <c r="D15" s="252"/>
      <c r="E15" s="252"/>
      <c r="F15" s="252"/>
      <c r="G15" s="252"/>
      <c r="H15" s="252"/>
      <c r="I15" s="252"/>
      <c r="J15" s="48">
        <v>928.89</v>
      </c>
    </row>
    <row r="16" spans="2:10" ht="12.75">
      <c r="B16" s="46" t="s">
        <v>103</v>
      </c>
      <c r="C16" s="252" t="s">
        <v>265</v>
      </c>
      <c r="D16" s="252"/>
      <c r="E16" s="252"/>
      <c r="F16" s="252"/>
      <c r="G16" s="252"/>
      <c r="H16" s="252"/>
      <c r="I16" s="252"/>
      <c r="J16" s="225">
        <v>4110.06</v>
      </c>
    </row>
    <row r="17" spans="2:10" ht="12.75">
      <c r="B17" s="46" t="s">
        <v>104</v>
      </c>
      <c r="C17" s="252" t="s">
        <v>265</v>
      </c>
      <c r="D17" s="252"/>
      <c r="E17" s="252"/>
      <c r="F17" s="252"/>
      <c r="G17" s="252"/>
      <c r="H17" s="252"/>
      <c r="I17" s="252"/>
      <c r="J17" s="225">
        <v>4110.06</v>
      </c>
    </row>
    <row r="18" spans="2:10" ht="12.75">
      <c r="B18" s="46" t="s">
        <v>103</v>
      </c>
      <c r="C18" s="252" t="s">
        <v>370</v>
      </c>
      <c r="D18" s="252"/>
      <c r="E18" s="252"/>
      <c r="F18" s="252"/>
      <c r="G18" s="252"/>
      <c r="H18" s="252"/>
      <c r="I18" s="252"/>
      <c r="J18" s="225">
        <v>13775.92</v>
      </c>
    </row>
    <row r="19" spans="2:10" ht="12.75">
      <c r="B19" s="46" t="s">
        <v>104</v>
      </c>
      <c r="C19" s="252" t="s">
        <v>370</v>
      </c>
      <c r="D19" s="252"/>
      <c r="E19" s="252"/>
      <c r="F19" s="252"/>
      <c r="G19" s="252"/>
      <c r="H19" s="252"/>
      <c r="I19" s="252"/>
      <c r="J19" s="225">
        <v>15688.57</v>
      </c>
    </row>
    <row r="20" spans="2:10" ht="12.75">
      <c r="B20" s="46" t="s">
        <v>105</v>
      </c>
      <c r="C20" s="252" t="s">
        <v>370</v>
      </c>
      <c r="D20" s="252"/>
      <c r="E20" s="252"/>
      <c r="F20" s="252"/>
      <c r="G20" s="252"/>
      <c r="H20" s="252"/>
      <c r="I20" s="252"/>
      <c r="J20" s="225">
        <v>17209.93</v>
      </c>
    </row>
    <row r="21" ht="12.75">
      <c r="J21" s="226"/>
    </row>
  </sheetData>
  <sheetProtection/>
  <autoFilter ref="A1:I5"/>
  <mergeCells count="13">
    <mergeCell ref="C13:AQ13"/>
    <mergeCell ref="A2:AQ2"/>
    <mergeCell ref="AD5:AP5"/>
    <mergeCell ref="Q5:AC5"/>
    <mergeCell ref="A4:I4"/>
    <mergeCell ref="D5:P5"/>
    <mergeCell ref="C20:I20"/>
    <mergeCell ref="C14:I14"/>
    <mergeCell ref="C15:I15"/>
    <mergeCell ref="C16:I16"/>
    <mergeCell ref="C17:I17"/>
    <mergeCell ref="C18:I18"/>
    <mergeCell ref="C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V23"/>
  <sheetViews>
    <sheetView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1" sqref="O11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57421875" style="26" customWidth="1"/>
    <col min="4" max="5" width="9.8515625" style="0" customWidth="1"/>
    <col min="6" max="6" width="9.57421875" style="0" customWidth="1"/>
    <col min="7" max="7" width="8.57421875" style="0" customWidth="1"/>
    <col min="8" max="8" width="9.8515625" style="0" customWidth="1"/>
    <col min="9" max="9" width="9.28125" style="0" customWidth="1"/>
    <col min="10" max="10" width="9.140625" style="0" customWidth="1"/>
    <col min="11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customWidth="1"/>
    <col min="30" max="41" width="9.28125" style="0" customWidth="1"/>
    <col min="42" max="42" width="10.00390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38"/>
      <c r="B6" s="39" t="s">
        <v>97</v>
      </c>
      <c r="C6" s="38"/>
      <c r="D6" s="40" t="s">
        <v>42</v>
      </c>
      <c r="E6" s="40" t="s">
        <v>80</v>
      </c>
      <c r="F6" s="40" t="s">
        <v>44</v>
      </c>
      <c r="G6" s="40" t="s">
        <v>45</v>
      </c>
      <c r="H6" s="40" t="s">
        <v>46</v>
      </c>
      <c r="I6" s="40" t="s">
        <v>47</v>
      </c>
      <c r="J6" s="40" t="s">
        <v>48</v>
      </c>
      <c r="K6" s="40" t="s">
        <v>49</v>
      </c>
      <c r="L6" s="40" t="s">
        <v>50</v>
      </c>
      <c r="M6" s="40" t="s">
        <v>51</v>
      </c>
      <c r="N6" s="40" t="s">
        <v>52</v>
      </c>
      <c r="O6" s="40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29" t="s">
        <v>45</v>
      </c>
      <c r="U6" s="29" t="s">
        <v>46</v>
      </c>
      <c r="V6" s="29" t="s">
        <v>47</v>
      </c>
      <c r="W6" s="29" t="s">
        <v>48</v>
      </c>
      <c r="X6" s="29" t="s">
        <v>49</v>
      </c>
      <c r="Y6" s="34" t="s">
        <v>50</v>
      </c>
      <c r="Z6" s="29" t="s">
        <v>51</v>
      </c>
      <c r="AA6" s="29" t="s">
        <v>52</v>
      </c>
      <c r="AB6" s="29" t="s">
        <v>53</v>
      </c>
      <c r="AC6" s="93" t="s">
        <v>54</v>
      </c>
      <c r="AD6" s="94" t="s">
        <v>42</v>
      </c>
      <c r="AE6" s="29" t="s">
        <v>43</v>
      </c>
      <c r="AF6" s="29" t="s">
        <v>44</v>
      </c>
      <c r="AG6" s="29" t="s">
        <v>45</v>
      </c>
      <c r="AH6" s="29" t="s">
        <v>46</v>
      </c>
      <c r="AI6" s="29" t="s">
        <v>47</v>
      </c>
      <c r="AJ6" s="29" t="s">
        <v>48</v>
      </c>
      <c r="AK6" s="29" t="s">
        <v>49</v>
      </c>
      <c r="AL6" s="29" t="s">
        <v>50</v>
      </c>
      <c r="AM6" s="29" t="s">
        <v>51</v>
      </c>
      <c r="AN6" s="29" t="s">
        <v>52</v>
      </c>
      <c r="AO6" s="29" t="s">
        <v>53</v>
      </c>
      <c r="AP6" s="93" t="s">
        <v>54</v>
      </c>
      <c r="AQ6" s="96"/>
    </row>
    <row r="7" spans="1:43" ht="12" customHeight="1">
      <c r="A7" s="10">
        <v>1</v>
      </c>
      <c r="B7" s="9" t="s">
        <v>98</v>
      </c>
      <c r="C7" s="123">
        <v>1440.4</v>
      </c>
      <c r="D7" s="125"/>
      <c r="E7" s="125"/>
      <c r="F7" s="125"/>
      <c r="G7" s="125">
        <v>504.57</v>
      </c>
      <c r="H7" s="125"/>
      <c r="I7" s="125"/>
      <c r="J7" s="125">
        <v>11256.77</v>
      </c>
      <c r="K7" s="125"/>
      <c r="L7" s="125"/>
      <c r="M7" s="125"/>
      <c r="N7" s="125"/>
      <c r="O7" s="125"/>
      <c r="P7" s="194">
        <f>SUM(D7:O7)</f>
        <v>11761.34</v>
      </c>
      <c r="Q7" s="127">
        <f>C7*593690.15/479520.23</f>
        <v>1783.347684955857</v>
      </c>
      <c r="R7" s="125">
        <f>C7*593686.15/479517.01</f>
        <v>1783.347644872911</v>
      </c>
      <c r="S7" s="125">
        <f>C7*579500.06/479514.61</f>
        <v>1740.7433872014874</v>
      </c>
      <c r="T7" s="125">
        <f>C7*593938.3/479720.67</f>
        <v>1783.34764545376</v>
      </c>
      <c r="U7" s="125">
        <f>C7*576132.29/479725.57</f>
        <v>1729.8659950854822</v>
      </c>
      <c r="V7" s="125">
        <f>C7*593946.23/479729.4</f>
        <v>1783.3390025543567</v>
      </c>
      <c r="W7" s="125">
        <f>C7*594015.27/479782.82</f>
        <v>1783.3477132590951</v>
      </c>
      <c r="X7" s="125">
        <f>C7*594005.55/479774.98</f>
        <v>1783.3476731529438</v>
      </c>
      <c r="Y7" s="125">
        <f>C7*585421.9/479766.08</f>
        <v>1757.6100935689328</v>
      </c>
      <c r="Z7" s="125">
        <f>C7*572643.93/479776.28</f>
        <v>1719.2102885369823</v>
      </c>
      <c r="AA7" s="125">
        <f>C7*588687.52/475479.64</f>
        <v>1783.347660917721</v>
      </c>
      <c r="AB7" s="125">
        <f>C7*577403.59/475489.94</f>
        <v>1749.1266608837193</v>
      </c>
      <c r="AC7" s="195">
        <f>SUM(Q7:AB7)</f>
        <v>21179.981450443247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0</v>
      </c>
      <c r="AQ7" s="197">
        <f>P7+AC7+AP7</f>
        <v>32941.32145044325</v>
      </c>
    </row>
    <row r="8" spans="1:43" ht="12" customHeight="1">
      <c r="A8" s="10">
        <v>2</v>
      </c>
      <c r="B8" s="9" t="s">
        <v>99</v>
      </c>
      <c r="C8" s="123">
        <v>2487.38</v>
      </c>
      <c r="D8" s="125"/>
      <c r="E8" s="125"/>
      <c r="F8" s="125">
        <f>7818.75</f>
        <v>7818.75</v>
      </c>
      <c r="G8" s="125">
        <v>2772.76</v>
      </c>
      <c r="H8" s="125"/>
      <c r="I8" s="125"/>
      <c r="J8" s="125">
        <v>19487.97</v>
      </c>
      <c r="K8" s="125"/>
      <c r="L8" s="125"/>
      <c r="M8" s="125"/>
      <c r="N8" s="125">
        <v>1388.96</v>
      </c>
      <c r="O8" s="125">
        <v>6240</v>
      </c>
      <c r="P8" s="194">
        <f>SUM(D8:O8)</f>
        <v>37708.44</v>
      </c>
      <c r="Q8" s="127">
        <f>C8*593690.15/479520.23</f>
        <v>3079.605223969383</v>
      </c>
      <c r="R8" s="125">
        <f>C8*593686.15/479517.01</f>
        <v>3079.605154751445</v>
      </c>
      <c r="S8" s="125">
        <f>C8*579500.06/479514.61</f>
        <v>3006.0332452494</v>
      </c>
      <c r="T8" s="125">
        <f>C8*593938.3/479720.67</f>
        <v>3079.6051557544943</v>
      </c>
      <c r="U8" s="125">
        <f>C8*576132.29/479725.57</f>
        <v>2987.249429919277</v>
      </c>
      <c r="V8" s="125">
        <f>C8*593946.23/479729.4</f>
        <v>3079.5902306120906</v>
      </c>
      <c r="W8" s="125">
        <f>C8*594015.27/479782.82</f>
        <v>3079.6052728453265</v>
      </c>
      <c r="X8" s="125">
        <f>C8*594005.55/479774.98</f>
        <v>3079.6052035873154</v>
      </c>
      <c r="Y8" s="125">
        <f>C8*585421.9/479766.08</f>
        <v>3035.1598129280005</v>
      </c>
      <c r="Z8" s="125">
        <f>C8*572643.93/479776.28</f>
        <v>2968.8484361990554</v>
      </c>
      <c r="AA8" s="125">
        <f>C8*588687.52/475479.64</f>
        <v>3079.6051824587066</v>
      </c>
      <c r="AB8" s="125">
        <f>C8*577403.59/475489.94</f>
        <v>3020.5100484233167</v>
      </c>
      <c r="AC8" s="195">
        <f>SUM(Q8:AB8)</f>
        <v>36575.02239669781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>SUM(AD8:AO8)</f>
        <v>0</v>
      </c>
      <c r="AQ8" s="197">
        <f>P8+AC8+AP8</f>
        <v>74283.46239669781</v>
      </c>
    </row>
    <row r="9" spans="1:43" ht="12" customHeight="1">
      <c r="A9" s="10">
        <v>3</v>
      </c>
      <c r="B9" s="9" t="s">
        <v>100</v>
      </c>
      <c r="C9" s="123">
        <v>6072.2</v>
      </c>
      <c r="D9" s="125"/>
      <c r="E9" s="125"/>
      <c r="F9" s="125"/>
      <c r="G9" s="125"/>
      <c r="H9" s="125"/>
      <c r="I9" s="125"/>
      <c r="J9" s="125">
        <v>47481.27</v>
      </c>
      <c r="K9" s="125"/>
      <c r="L9" s="125"/>
      <c r="M9" s="125"/>
      <c r="N9" s="125"/>
      <c r="O9" s="125"/>
      <c r="P9" s="194">
        <f>SUM(D9:O9)</f>
        <v>47481.27</v>
      </c>
      <c r="Q9" s="127">
        <f>C9*593690.15/479520.23</f>
        <v>7517.94210815673</v>
      </c>
      <c r="R9" s="125">
        <f>C9*593686.15/479517.01</f>
        <v>7517.941939181678</v>
      </c>
      <c r="S9" s="125">
        <f>C9*579500.06/479514.61</f>
        <v>7338.337958737066</v>
      </c>
      <c r="T9" s="125">
        <f>C9*593938.3/479720.67</f>
        <v>7517.941941630325</v>
      </c>
      <c r="U9" s="125">
        <f>C9*576132.29/479725.57</f>
        <v>7292.482848762888</v>
      </c>
      <c r="V9" s="125">
        <f>C9*593946.23/479729.4</f>
        <v>7517.905506325023</v>
      </c>
      <c r="W9" s="125">
        <f>C9*594015.27/479782.82</f>
        <v>7517.942227472839</v>
      </c>
      <c r="X9" s="125">
        <f>C9*594005.55/479774.98</f>
        <v>7517.942058399961</v>
      </c>
      <c r="Y9" s="125">
        <f>C9*585421.9/479766.08</f>
        <v>7409.441828776223</v>
      </c>
      <c r="Z9" s="125">
        <f>C9*572643.93/479776.28</f>
        <v>7247.562284125426</v>
      </c>
      <c r="AA9" s="125">
        <f>C9*588687.52/475479.64</f>
        <v>7517.942006820734</v>
      </c>
      <c r="AB9" s="125">
        <f>C9*577403.59/475489.94</f>
        <v>7373.678776880115</v>
      </c>
      <c r="AC9" s="195">
        <f>SUM(Q9:AB9)</f>
        <v>89287.06148526902</v>
      </c>
      <c r="AD9" s="127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>SUM(AD9:AO9)</f>
        <v>0</v>
      </c>
      <c r="AQ9" s="197">
        <f>P9+AC9+AP9</f>
        <v>136768.331485269</v>
      </c>
    </row>
    <row r="10" spans="1:43" ht="12" customHeight="1">
      <c r="A10" s="10">
        <v>4</v>
      </c>
      <c r="B10" s="9" t="s">
        <v>101</v>
      </c>
      <c r="C10" s="129">
        <v>3393</v>
      </c>
      <c r="D10" s="125"/>
      <c r="E10" s="125"/>
      <c r="F10" s="125"/>
      <c r="G10" s="125"/>
      <c r="H10" s="125"/>
      <c r="I10" s="125"/>
      <c r="J10" s="125">
        <v>26519.61</v>
      </c>
      <c r="K10" s="125"/>
      <c r="L10" s="125"/>
      <c r="M10" s="125"/>
      <c r="N10" s="125"/>
      <c r="O10" s="125">
        <v>6240</v>
      </c>
      <c r="P10" s="194">
        <f>SUM(D10:O10)</f>
        <v>32759.61</v>
      </c>
      <c r="Q10" s="127">
        <f>C10*593690.15/479520.23</f>
        <v>4200.846080988074</v>
      </c>
      <c r="R10" s="125">
        <f>C10*593686.15/479517.01</f>
        <v>4200.84598656886</v>
      </c>
      <c r="S10" s="125">
        <f>C10*579500.06/479514.61</f>
        <v>4100.4875817652355</v>
      </c>
      <c r="T10" s="125">
        <f>C10*593938.3/479720.67</f>
        <v>4200.845987937106</v>
      </c>
      <c r="U10" s="125">
        <f>C10*576132.29/479725.57</f>
        <v>4074.8648440190505</v>
      </c>
      <c r="V10" s="125">
        <f>C10*593946.23/479729.4</f>
        <v>4200.825628760714</v>
      </c>
      <c r="W10" s="125">
        <f>C10*594015.27/479782.82</f>
        <v>4200.84614765906</v>
      </c>
      <c r="X10" s="125">
        <f>C10*594005.55/479774.98</f>
        <v>4200.846053185183</v>
      </c>
      <c r="Y10" s="125">
        <f>C10*585421.9/479766.08</f>
        <v>4140.218722215626</v>
      </c>
      <c r="Z10" s="125">
        <f>C10*572643.93/479776.28</f>
        <v>4049.7643078353103</v>
      </c>
      <c r="AA10" s="125">
        <f>C10*588687.52/475479.64</f>
        <v>4200.846024363946</v>
      </c>
      <c r="AB10" s="125">
        <f>C10*577403.59/475489.94</f>
        <v>4120.23518493367</v>
      </c>
      <c r="AC10" s="195">
        <f>SUM(Q10:AB10)</f>
        <v>49891.47255023183</v>
      </c>
      <c r="AD10" s="127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>SUM(AD10:AO10)</f>
        <v>0</v>
      </c>
      <c r="AQ10" s="197">
        <f>P10+AC10+AP10</f>
        <v>82651.08255023183</v>
      </c>
    </row>
    <row r="11" spans="1:43" ht="12" customHeight="1" thickBot="1">
      <c r="A11" s="23">
        <v>4</v>
      </c>
      <c r="B11" s="12" t="s">
        <v>3</v>
      </c>
      <c r="C11" s="133">
        <f aca="true" t="shared" si="0" ref="C11:AQ11">SUM(C7:C10)</f>
        <v>13392.98</v>
      </c>
      <c r="D11" s="135">
        <f t="shared" si="0"/>
        <v>0</v>
      </c>
      <c r="E11" s="135">
        <f t="shared" si="0"/>
        <v>0</v>
      </c>
      <c r="F11" s="135">
        <f t="shared" si="0"/>
        <v>7818.75</v>
      </c>
      <c r="G11" s="135">
        <f t="shared" si="0"/>
        <v>3277.3300000000004</v>
      </c>
      <c r="H11" s="135">
        <f t="shared" si="0"/>
        <v>0</v>
      </c>
      <c r="I11" s="135">
        <f t="shared" si="0"/>
        <v>0</v>
      </c>
      <c r="J11" s="135">
        <f t="shared" si="0"/>
        <v>104745.62</v>
      </c>
      <c r="K11" s="135">
        <f t="shared" si="0"/>
        <v>0</v>
      </c>
      <c r="L11" s="135">
        <f t="shared" si="0"/>
        <v>0</v>
      </c>
      <c r="M11" s="135">
        <f t="shared" si="0"/>
        <v>0</v>
      </c>
      <c r="N11" s="135">
        <f t="shared" si="0"/>
        <v>1388.96</v>
      </c>
      <c r="O11" s="135">
        <f t="shared" si="0"/>
        <v>12480</v>
      </c>
      <c r="P11" s="202">
        <f t="shared" si="0"/>
        <v>129710.65999999999</v>
      </c>
      <c r="Q11" s="136">
        <f t="shared" si="0"/>
        <v>16581.741098070044</v>
      </c>
      <c r="R11" s="162">
        <f t="shared" si="0"/>
        <v>16581.740725374893</v>
      </c>
      <c r="S11" s="162">
        <f t="shared" si="0"/>
        <v>16185.60217295319</v>
      </c>
      <c r="T11" s="162">
        <f t="shared" si="0"/>
        <v>16581.740730775688</v>
      </c>
      <c r="U11" s="162">
        <f t="shared" si="0"/>
        <v>16084.463117786698</v>
      </c>
      <c r="V11" s="162">
        <f t="shared" si="0"/>
        <v>16581.660368252185</v>
      </c>
      <c r="W11" s="162">
        <f t="shared" si="0"/>
        <v>16581.74136123632</v>
      </c>
      <c r="X11" s="162">
        <f t="shared" si="0"/>
        <v>16581.7409883254</v>
      </c>
      <c r="Y11" s="162">
        <f t="shared" si="0"/>
        <v>16342.430457488781</v>
      </c>
      <c r="Z11" s="162">
        <f t="shared" si="0"/>
        <v>15985.385316696775</v>
      </c>
      <c r="AA11" s="162">
        <f t="shared" si="0"/>
        <v>16581.740874561106</v>
      </c>
      <c r="AB11" s="162">
        <f t="shared" si="0"/>
        <v>16263.550671120822</v>
      </c>
      <c r="AC11" s="204">
        <f t="shared" si="0"/>
        <v>196933.5378826419</v>
      </c>
      <c r="AD11" s="136">
        <f t="shared" si="0"/>
        <v>0</v>
      </c>
      <c r="AE11" s="162">
        <f t="shared" si="0"/>
        <v>0</v>
      </c>
      <c r="AF11" s="162">
        <f t="shared" si="0"/>
        <v>0</v>
      </c>
      <c r="AG11" s="162">
        <f t="shared" si="0"/>
        <v>0</v>
      </c>
      <c r="AH11" s="162">
        <f t="shared" si="0"/>
        <v>0</v>
      </c>
      <c r="AI11" s="162">
        <f t="shared" si="0"/>
        <v>0</v>
      </c>
      <c r="AJ11" s="162">
        <f t="shared" si="0"/>
        <v>0</v>
      </c>
      <c r="AK11" s="162">
        <f t="shared" si="0"/>
        <v>0</v>
      </c>
      <c r="AL11" s="162">
        <f t="shared" si="0"/>
        <v>0</v>
      </c>
      <c r="AM11" s="162">
        <f t="shared" si="0"/>
        <v>0</v>
      </c>
      <c r="AN11" s="162">
        <f t="shared" si="0"/>
        <v>0</v>
      </c>
      <c r="AO11" s="162">
        <f t="shared" si="0"/>
        <v>0</v>
      </c>
      <c r="AP11" s="204">
        <f t="shared" si="0"/>
        <v>0</v>
      </c>
      <c r="AQ11" s="198">
        <f t="shared" si="0"/>
        <v>326644.1978826419</v>
      </c>
    </row>
    <row r="12" ht="13.5" customHeight="1"/>
    <row r="13" s="259" customFormat="1" ht="9.75">
      <c r="A13" s="252"/>
    </row>
    <row r="14" spans="2:48" ht="12.75" customHeight="1">
      <c r="B14" s="118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</row>
    <row r="15" spans="2:46" ht="12.75" customHeight="1">
      <c r="B15" s="118" t="s">
        <v>99</v>
      </c>
      <c r="C15" s="241" t="s">
        <v>211</v>
      </c>
      <c r="D15" s="241"/>
      <c r="E15" s="241"/>
      <c r="F15" s="241"/>
      <c r="G15" s="241"/>
      <c r="H15" s="241"/>
      <c r="I15" s="241"/>
      <c r="J15" s="241"/>
      <c r="K15" s="241"/>
      <c r="L15" s="241"/>
      <c r="M15" s="159">
        <v>7818.75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5" ht="12.75" customHeight="1">
      <c r="B16" s="118" t="s">
        <v>99</v>
      </c>
      <c r="C16" s="241" t="s">
        <v>228</v>
      </c>
      <c r="D16" s="241"/>
      <c r="E16" s="241"/>
      <c r="F16" s="241"/>
      <c r="G16" s="241"/>
      <c r="H16" s="241"/>
      <c r="I16" s="241"/>
      <c r="J16" s="241"/>
      <c r="K16" s="241"/>
      <c r="L16" s="241"/>
      <c r="M16" s="173">
        <v>2772.76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</row>
    <row r="17" spans="2:44" ht="12.75" customHeight="1">
      <c r="B17" s="116" t="s">
        <v>98</v>
      </c>
      <c r="C17" s="241" t="s">
        <v>233</v>
      </c>
      <c r="D17" s="241"/>
      <c r="E17" s="241"/>
      <c r="F17" s="241"/>
      <c r="G17" s="241"/>
      <c r="H17" s="241"/>
      <c r="I17" s="241"/>
      <c r="J17" s="241"/>
      <c r="K17" s="241"/>
      <c r="L17" s="241"/>
      <c r="M17" s="173">
        <v>504.57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spans="2:13" ht="12.75">
      <c r="B18" s="118" t="s">
        <v>311</v>
      </c>
      <c r="C18" s="261" t="s">
        <v>294</v>
      </c>
      <c r="D18" s="261"/>
      <c r="E18" s="261"/>
      <c r="F18" s="261"/>
      <c r="G18" s="261"/>
      <c r="H18" s="261"/>
      <c r="I18" s="261"/>
      <c r="J18" s="261"/>
      <c r="K18" s="261"/>
      <c r="L18" s="261"/>
      <c r="M18" s="156">
        <v>1388.96</v>
      </c>
    </row>
    <row r="19" spans="2:13" ht="12.75">
      <c r="B19" s="46" t="s">
        <v>98</v>
      </c>
      <c r="C19" s="252" t="s">
        <v>370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25">
        <v>11256.77</v>
      </c>
    </row>
    <row r="20" spans="2:13" ht="12.75">
      <c r="B20" s="46" t="s">
        <v>99</v>
      </c>
      <c r="C20" s="252" t="s">
        <v>370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25">
        <v>19487.97</v>
      </c>
    </row>
    <row r="21" spans="2:13" ht="12.75">
      <c r="B21" s="46" t="s">
        <v>100</v>
      </c>
      <c r="C21" s="252" t="s">
        <v>370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25">
        <v>47481.27</v>
      </c>
    </row>
    <row r="22" spans="2:13" ht="12.75">
      <c r="B22" s="46" t="s">
        <v>101</v>
      </c>
      <c r="C22" s="252" t="s">
        <v>370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25">
        <v>26519.61</v>
      </c>
    </row>
    <row r="23" spans="2:13" ht="12.75">
      <c r="B23" s="46"/>
      <c r="M23" s="48"/>
    </row>
  </sheetData>
  <sheetProtection/>
  <autoFilter ref="A1:I5"/>
  <mergeCells count="15">
    <mergeCell ref="A2:AQ2"/>
    <mergeCell ref="AD5:AP5"/>
    <mergeCell ref="Q5:AC5"/>
    <mergeCell ref="A4:I4"/>
    <mergeCell ref="D5:P5"/>
    <mergeCell ref="A13:IV13"/>
    <mergeCell ref="C19:L19"/>
    <mergeCell ref="C20:L20"/>
    <mergeCell ref="C21:L21"/>
    <mergeCell ref="C22:L22"/>
    <mergeCell ref="C14:AV14"/>
    <mergeCell ref="C18:L18"/>
    <mergeCell ref="C16:L16"/>
    <mergeCell ref="C17:L17"/>
    <mergeCell ref="C15:L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23"/>
  <sheetViews>
    <sheetView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2" sqref="O12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28125" style="26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customWidth="1"/>
    <col min="30" max="41" width="9.28125" style="0" customWidth="1"/>
    <col min="42" max="42" width="10.00390625" style="0" customWidth="1"/>
    <col min="43" max="43" width="11.140625" style="0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38"/>
      <c r="B6" s="12" t="s">
        <v>90</v>
      </c>
      <c r="C6" s="38"/>
      <c r="D6" s="40" t="s">
        <v>42</v>
      </c>
      <c r="E6" s="40" t="s">
        <v>80</v>
      </c>
      <c r="F6" s="40" t="s">
        <v>44</v>
      </c>
      <c r="G6" s="40" t="s">
        <v>45</v>
      </c>
      <c r="H6" s="40" t="s">
        <v>46</v>
      </c>
      <c r="I6" s="40" t="s">
        <v>47</v>
      </c>
      <c r="J6" s="40" t="s">
        <v>48</v>
      </c>
      <c r="K6" s="40" t="s">
        <v>49</v>
      </c>
      <c r="L6" s="40" t="s">
        <v>50</v>
      </c>
      <c r="M6" s="40" t="s">
        <v>51</v>
      </c>
      <c r="N6" s="40" t="s">
        <v>52</v>
      </c>
      <c r="O6" s="40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29" t="s">
        <v>45</v>
      </c>
      <c r="U6" s="29" t="s">
        <v>46</v>
      </c>
      <c r="V6" s="29" t="s">
        <v>47</v>
      </c>
      <c r="W6" s="29" t="s">
        <v>48</v>
      </c>
      <c r="X6" s="29" t="s">
        <v>49</v>
      </c>
      <c r="Y6" s="34" t="s">
        <v>50</v>
      </c>
      <c r="Z6" s="29" t="s">
        <v>51</v>
      </c>
      <c r="AA6" s="29" t="s">
        <v>52</v>
      </c>
      <c r="AB6" s="29" t="s">
        <v>53</v>
      </c>
      <c r="AC6" s="93" t="s">
        <v>54</v>
      </c>
      <c r="AD6" s="94" t="s">
        <v>42</v>
      </c>
      <c r="AE6" s="29" t="s">
        <v>43</v>
      </c>
      <c r="AF6" s="29" t="s">
        <v>44</v>
      </c>
      <c r="AG6" s="29" t="s">
        <v>45</v>
      </c>
      <c r="AH6" s="29" t="s">
        <v>46</v>
      </c>
      <c r="AI6" s="29" t="s">
        <v>47</v>
      </c>
      <c r="AJ6" s="29" t="s">
        <v>48</v>
      </c>
      <c r="AK6" s="29" t="s">
        <v>49</v>
      </c>
      <c r="AL6" s="29" t="s">
        <v>50</v>
      </c>
      <c r="AM6" s="29" t="s">
        <v>51</v>
      </c>
      <c r="AN6" s="29" t="s">
        <v>52</v>
      </c>
      <c r="AO6" s="29" t="s">
        <v>53</v>
      </c>
      <c r="AP6" s="93" t="s">
        <v>54</v>
      </c>
      <c r="AQ6" s="96"/>
    </row>
    <row r="7" spans="1:43" ht="12" customHeight="1">
      <c r="A7" s="10">
        <v>1</v>
      </c>
      <c r="B7" s="9" t="s">
        <v>91</v>
      </c>
      <c r="C7" s="123">
        <v>3326.6</v>
      </c>
      <c r="D7" s="138"/>
      <c r="E7" s="125"/>
      <c r="F7" s="125">
        <f>7818.75</f>
        <v>7818.75</v>
      </c>
      <c r="G7" s="125"/>
      <c r="H7" s="125"/>
      <c r="I7" s="125"/>
      <c r="J7" s="125"/>
      <c r="K7" s="125"/>
      <c r="L7" s="125"/>
      <c r="M7" s="125"/>
      <c r="N7" s="125"/>
      <c r="O7" s="125">
        <v>6240</v>
      </c>
      <c r="P7" s="194">
        <f aca="true" t="shared" si="0" ref="P7:P12">SUM(D7:O7)</f>
        <v>14058.75</v>
      </c>
      <c r="Q7" s="127">
        <f aca="true" t="shared" si="1" ref="Q7:Q12">C7*593690.15/479520.23</f>
        <v>4118.636773656035</v>
      </c>
      <c r="R7" s="125">
        <f aca="true" t="shared" si="2" ref="R7:R12">C7*593686.15/479517.01</f>
        <v>4118.636681084577</v>
      </c>
      <c r="S7" s="125">
        <f aca="true" t="shared" si="3" ref="S7:S12">C7*579500.06/479514.61</f>
        <v>4020.2422603891055</v>
      </c>
      <c r="T7" s="125">
        <f aca="true" t="shared" si="4" ref="T7:T12">C7*593938.3/479720.67</f>
        <v>4118.636682426047</v>
      </c>
      <c r="U7" s="125">
        <f aca="true" t="shared" si="5" ref="U7:U12">C7*576132.29/479725.57</f>
        <v>3995.120951993449</v>
      </c>
      <c r="V7" s="125">
        <f aca="true" t="shared" si="6" ref="V7:V12">C7*593946.23/479729.4</f>
        <v>4118.616721672676</v>
      </c>
      <c r="W7" s="125">
        <f aca="true" t="shared" si="7" ref="W7:W12">C7*594015.27/479782.82</f>
        <v>4118.636839022289</v>
      </c>
      <c r="X7" s="125">
        <f aca="true" t="shared" si="8" ref="X7:X12">C7*594005.55/479774.98</f>
        <v>4118.636746397238</v>
      </c>
      <c r="Y7" s="125">
        <f aca="true" t="shared" si="9" ref="Y7:Y12">C7*585421.9/479766.08</f>
        <v>4059.1958742477163</v>
      </c>
      <c r="Z7" s="125">
        <f aca="true" t="shared" si="10" ref="Z7:Z12">C7*572643.93/479776.28</f>
        <v>3970.511625831106</v>
      </c>
      <c r="AA7" s="125">
        <f aca="true" t="shared" si="11" ref="AA7:AA12">C7*588687.52/475479.64</f>
        <v>4118.636718140024</v>
      </c>
      <c r="AB7" s="125">
        <f aca="true" t="shared" si="12" ref="AB7:AB12">C7*577403.59/475489.94</f>
        <v>4039.603408841836</v>
      </c>
      <c r="AC7" s="195">
        <f aca="true" t="shared" si="13" ref="AC7:AC12">SUM(Q7:AB7)</f>
        <v>48915.11128370209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 aca="true" t="shared" si="14" ref="AP7:AP12">SUM(AD7:AO7)</f>
        <v>0</v>
      </c>
      <c r="AQ7" s="197">
        <f aca="true" t="shared" si="15" ref="AQ7:AQ12">SUM(AP7,AC7,P7)</f>
        <v>62973.86128370209</v>
      </c>
    </row>
    <row r="8" spans="1:43" ht="12" customHeight="1">
      <c r="A8" s="10">
        <v>2</v>
      </c>
      <c r="B8" s="9" t="s">
        <v>92</v>
      </c>
      <c r="C8" s="123">
        <v>4451.6</v>
      </c>
      <c r="D8" s="125"/>
      <c r="E8" s="125">
        <f>1559.49</f>
        <v>1559.49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94">
        <f t="shared" si="0"/>
        <v>1559.49</v>
      </c>
      <c r="Q8" s="127">
        <f t="shared" si="1"/>
        <v>5511.490248784708</v>
      </c>
      <c r="R8" s="125">
        <f t="shared" si="2"/>
        <v>5511.490124907144</v>
      </c>
      <c r="S8" s="125">
        <f t="shared" si="3"/>
        <v>5379.820371053972</v>
      </c>
      <c r="T8" s="125">
        <f t="shared" si="4"/>
        <v>5511.490126702275</v>
      </c>
      <c r="U8" s="125">
        <f t="shared" si="5"/>
        <v>5346.203459957326</v>
      </c>
      <c r="V8" s="125">
        <f t="shared" si="6"/>
        <v>5511.463415558855</v>
      </c>
      <c r="W8" s="125">
        <f t="shared" si="7"/>
        <v>5511.490336256726</v>
      </c>
      <c r="X8" s="125">
        <f t="shared" si="8"/>
        <v>5511.490212307446</v>
      </c>
      <c r="Y8" s="125">
        <f t="shared" si="9"/>
        <v>5431.947439969079</v>
      </c>
      <c r="Z8" s="125">
        <f t="shared" si="10"/>
        <v>5313.27167484812</v>
      </c>
      <c r="AA8" s="125">
        <f t="shared" si="11"/>
        <v>5511.490174494117</v>
      </c>
      <c r="AB8" s="125">
        <f t="shared" si="12"/>
        <v>5405.729133289339</v>
      </c>
      <c r="AC8" s="195">
        <f t="shared" si="13"/>
        <v>65457.376718129104</v>
      </c>
      <c r="AD8" s="127"/>
      <c r="AE8" s="125">
        <f>8215.64</f>
        <v>8215.64</v>
      </c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t="shared" si="14"/>
        <v>8215.64</v>
      </c>
      <c r="AQ8" s="197">
        <f t="shared" si="15"/>
        <v>75232.50671812911</v>
      </c>
    </row>
    <row r="9" spans="1:43" ht="12" customHeight="1">
      <c r="A9" s="10">
        <v>3</v>
      </c>
      <c r="B9" s="9" t="s">
        <v>93</v>
      </c>
      <c r="C9" s="123">
        <v>4132.36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>
        <v>3112.96</v>
      </c>
      <c r="O9" s="125"/>
      <c r="P9" s="194">
        <f t="shared" si="0"/>
        <v>3112.96</v>
      </c>
      <c r="Q9" s="127">
        <f t="shared" si="1"/>
        <v>5116.2417657624155</v>
      </c>
      <c r="R9" s="125">
        <f t="shared" si="2"/>
        <v>5116.241650768552</v>
      </c>
      <c r="S9" s="125">
        <f t="shared" si="3"/>
        <v>4994.0144012329465</v>
      </c>
      <c r="T9" s="125">
        <f t="shared" si="4"/>
        <v>5116.241652434947</v>
      </c>
      <c r="U9" s="125">
        <f t="shared" si="5"/>
        <v>4962.808277875202</v>
      </c>
      <c r="V9" s="125">
        <f t="shared" si="6"/>
        <v>5116.21685684221</v>
      </c>
      <c r="W9" s="125">
        <f t="shared" si="7"/>
        <v>5116.241846961506</v>
      </c>
      <c r="X9" s="125">
        <f t="shared" si="8"/>
        <v>5116.241731901067</v>
      </c>
      <c r="Y9" s="125">
        <f t="shared" si="9"/>
        <v>5042.403253443845</v>
      </c>
      <c r="Z9" s="125">
        <f t="shared" si="10"/>
        <v>4932.238147694171</v>
      </c>
      <c r="AA9" s="125">
        <f t="shared" si="11"/>
        <v>5116.241696799468</v>
      </c>
      <c r="AB9" s="125">
        <f t="shared" si="12"/>
        <v>5018.0651543803415</v>
      </c>
      <c r="AC9" s="195">
        <f t="shared" si="13"/>
        <v>60763.196436096674</v>
      </c>
      <c r="AD9" s="127">
        <f>7302.77</f>
        <v>7302.77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>
        <v>7302.76</v>
      </c>
      <c r="AO9" s="125"/>
      <c r="AP9" s="195">
        <f t="shared" si="14"/>
        <v>14605.53</v>
      </c>
      <c r="AQ9" s="197">
        <f t="shared" si="15"/>
        <v>78481.68643609669</v>
      </c>
    </row>
    <row r="10" spans="1:43" ht="12" customHeight="1">
      <c r="A10" s="10">
        <v>4</v>
      </c>
      <c r="B10" s="9" t="s">
        <v>94</v>
      </c>
      <c r="C10" s="123">
        <v>1759.4</v>
      </c>
      <c r="D10" s="125">
        <f>567.93</f>
        <v>567.93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94">
        <f t="shared" si="0"/>
        <v>567.93</v>
      </c>
      <c r="Q10" s="127">
        <f t="shared" si="1"/>
        <v>2178.2990259034536</v>
      </c>
      <c r="R10" s="125">
        <f t="shared" si="2"/>
        <v>2178.2989769434876</v>
      </c>
      <c r="S10" s="125">
        <f t="shared" si="3"/>
        <v>2126.259313692236</v>
      </c>
      <c r="T10" s="125">
        <f t="shared" si="4"/>
        <v>2178.298977652975</v>
      </c>
      <c r="U10" s="125">
        <f t="shared" si="5"/>
        <v>2112.972946232572</v>
      </c>
      <c r="V10" s="125">
        <f t="shared" si="6"/>
        <v>2178.288420642971</v>
      </c>
      <c r="W10" s="125">
        <f t="shared" si="7"/>
        <v>2178.2990604749043</v>
      </c>
      <c r="X10" s="125">
        <f t="shared" si="8"/>
        <v>2178.299011486594</v>
      </c>
      <c r="Y10" s="125">
        <f t="shared" si="9"/>
        <v>2146.861426426812</v>
      </c>
      <c r="Z10" s="125">
        <f t="shared" si="10"/>
        <v>2099.9573602138066</v>
      </c>
      <c r="AA10" s="125">
        <f t="shared" si="11"/>
        <v>2178.298996541682</v>
      </c>
      <c r="AB10" s="125">
        <f t="shared" si="12"/>
        <v>2136.499199638167</v>
      </c>
      <c r="AC10" s="195">
        <f t="shared" si="13"/>
        <v>25870.632715849664</v>
      </c>
      <c r="AD10" s="127">
        <f>3651.4</f>
        <v>3651.4</v>
      </c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3651.4</v>
      </c>
      <c r="AQ10" s="197">
        <f t="shared" si="15"/>
        <v>30089.962715849666</v>
      </c>
    </row>
    <row r="11" spans="1:43" ht="12" customHeight="1">
      <c r="A11" s="10">
        <v>5</v>
      </c>
      <c r="B11" s="9" t="s">
        <v>95</v>
      </c>
      <c r="C11" s="123">
        <v>2396.9</v>
      </c>
      <c r="D11" s="125"/>
      <c r="E11" s="125"/>
      <c r="F11" s="125">
        <f>7818.75</f>
        <v>7818.75</v>
      </c>
      <c r="G11" s="125"/>
      <c r="H11" s="125"/>
      <c r="I11" s="125"/>
      <c r="J11" s="125"/>
      <c r="K11" s="125"/>
      <c r="L11" s="125"/>
      <c r="M11" s="125"/>
      <c r="N11" s="125"/>
      <c r="O11" s="125">
        <v>6240</v>
      </c>
      <c r="P11" s="194">
        <f t="shared" si="0"/>
        <v>14058.75</v>
      </c>
      <c r="Q11" s="127">
        <f t="shared" si="1"/>
        <v>2967.582661809701</v>
      </c>
      <c r="R11" s="125">
        <f t="shared" si="2"/>
        <v>2967.5825951096085</v>
      </c>
      <c r="S11" s="125">
        <f t="shared" si="3"/>
        <v>2896.68690973566</v>
      </c>
      <c r="T11" s="125">
        <f t="shared" si="4"/>
        <v>2967.5825960761713</v>
      </c>
      <c r="U11" s="125">
        <f t="shared" si="5"/>
        <v>2878.586367412102</v>
      </c>
      <c r="V11" s="125">
        <f t="shared" si="6"/>
        <v>2967.5682138451384</v>
      </c>
      <c r="W11" s="125">
        <f t="shared" si="7"/>
        <v>2967.5827089077516</v>
      </c>
      <c r="X11" s="125">
        <f t="shared" si="8"/>
        <v>2967.582642169044</v>
      </c>
      <c r="Y11" s="125">
        <f t="shared" si="9"/>
        <v>2924.753980335584</v>
      </c>
      <c r="Z11" s="125">
        <f t="shared" si="10"/>
        <v>2860.854721323447</v>
      </c>
      <c r="AA11" s="125">
        <f t="shared" si="11"/>
        <v>2967.5826218090015</v>
      </c>
      <c r="AB11" s="125">
        <f t="shared" si="12"/>
        <v>2910.637110158419</v>
      </c>
      <c r="AC11" s="195">
        <f t="shared" si="13"/>
        <v>35244.58312869162</v>
      </c>
      <c r="AD11" s="127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0</v>
      </c>
      <c r="AQ11" s="197">
        <f t="shared" si="15"/>
        <v>49303.33312869162</v>
      </c>
    </row>
    <row r="12" spans="1:43" ht="12" customHeight="1">
      <c r="A12" s="10">
        <v>6</v>
      </c>
      <c r="B12" s="9" t="s">
        <v>96</v>
      </c>
      <c r="C12" s="123">
        <v>5365.1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94">
        <f t="shared" si="0"/>
        <v>0</v>
      </c>
      <c r="Q12" s="127">
        <f t="shared" si="1"/>
        <v>6642.487270589189</v>
      </c>
      <c r="R12" s="125">
        <f t="shared" si="2"/>
        <v>6642.4871212910675</v>
      </c>
      <c r="S12" s="125">
        <f t="shared" si="3"/>
        <v>6483.797796913843</v>
      </c>
      <c r="T12" s="125">
        <f t="shared" si="4"/>
        <v>6642.4871234545735</v>
      </c>
      <c r="U12" s="125">
        <f t="shared" si="5"/>
        <v>6443.282456423994</v>
      </c>
      <c r="V12" s="125">
        <f t="shared" si="6"/>
        <v>6642.454930994431</v>
      </c>
      <c r="W12" s="125">
        <f t="shared" si="7"/>
        <v>6642.487376011088</v>
      </c>
      <c r="X12" s="125">
        <f t="shared" si="8"/>
        <v>6642.487226626533</v>
      </c>
      <c r="Y12" s="125">
        <f t="shared" si="9"/>
        <v>6546.621711334825</v>
      </c>
      <c r="Z12" s="125">
        <f t="shared" si="10"/>
        <v>6403.592834649933</v>
      </c>
      <c r="AA12" s="125">
        <f t="shared" si="11"/>
        <v>6642.4871810536415</v>
      </c>
      <c r="AB12" s="125">
        <f t="shared" si="12"/>
        <v>6515.023221540712</v>
      </c>
      <c r="AC12" s="195">
        <f t="shared" si="13"/>
        <v>78889.69625088383</v>
      </c>
      <c r="AD12" s="127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95">
        <f t="shared" si="14"/>
        <v>0</v>
      </c>
      <c r="AQ12" s="197">
        <f t="shared" si="15"/>
        <v>78889.69625088383</v>
      </c>
    </row>
    <row r="13" spans="1:43" ht="12" customHeight="1" thickBot="1">
      <c r="A13" s="23">
        <v>6</v>
      </c>
      <c r="B13" s="12" t="s">
        <v>3</v>
      </c>
      <c r="C13" s="133">
        <f aca="true" t="shared" si="16" ref="C13:AQ13">SUM(C7:C12)</f>
        <v>21431.96</v>
      </c>
      <c r="D13" s="135">
        <f t="shared" si="16"/>
        <v>567.93</v>
      </c>
      <c r="E13" s="135">
        <f t="shared" si="16"/>
        <v>1559.49</v>
      </c>
      <c r="F13" s="135">
        <f t="shared" si="16"/>
        <v>15637.5</v>
      </c>
      <c r="G13" s="135">
        <f t="shared" si="16"/>
        <v>0</v>
      </c>
      <c r="H13" s="135">
        <f t="shared" si="16"/>
        <v>0</v>
      </c>
      <c r="I13" s="135">
        <f t="shared" si="16"/>
        <v>0</v>
      </c>
      <c r="J13" s="135">
        <f t="shared" si="16"/>
        <v>0</v>
      </c>
      <c r="K13" s="135">
        <f t="shared" si="16"/>
        <v>0</v>
      </c>
      <c r="L13" s="135">
        <f t="shared" si="16"/>
        <v>0</v>
      </c>
      <c r="M13" s="135">
        <f t="shared" si="16"/>
        <v>0</v>
      </c>
      <c r="N13" s="135">
        <f t="shared" si="16"/>
        <v>3112.96</v>
      </c>
      <c r="O13" s="135">
        <f t="shared" si="16"/>
        <v>12480</v>
      </c>
      <c r="P13" s="202">
        <f t="shared" si="16"/>
        <v>33357.880000000005</v>
      </c>
      <c r="Q13" s="136">
        <f t="shared" si="16"/>
        <v>26534.737746505503</v>
      </c>
      <c r="R13" s="162">
        <f t="shared" si="16"/>
        <v>26534.737150104433</v>
      </c>
      <c r="S13" s="162">
        <f t="shared" si="16"/>
        <v>25900.821053017768</v>
      </c>
      <c r="T13" s="162">
        <f t="shared" si="16"/>
        <v>26534.73715874699</v>
      </c>
      <c r="U13" s="162">
        <f t="shared" si="16"/>
        <v>25738.974459894645</v>
      </c>
      <c r="V13" s="162">
        <f t="shared" si="16"/>
        <v>26534.60855955628</v>
      </c>
      <c r="W13" s="162">
        <f t="shared" si="16"/>
        <v>26534.738167634263</v>
      </c>
      <c r="X13" s="162">
        <f t="shared" si="16"/>
        <v>26534.737570887923</v>
      </c>
      <c r="Y13" s="162">
        <f t="shared" si="16"/>
        <v>26151.78368575786</v>
      </c>
      <c r="Z13" s="162">
        <f t="shared" si="16"/>
        <v>25580.426364560582</v>
      </c>
      <c r="AA13" s="162">
        <f t="shared" si="16"/>
        <v>26534.737388837933</v>
      </c>
      <c r="AB13" s="162">
        <f t="shared" si="16"/>
        <v>26025.557227848814</v>
      </c>
      <c r="AC13" s="204">
        <f t="shared" si="16"/>
        <v>315140.596533353</v>
      </c>
      <c r="AD13" s="136">
        <f t="shared" si="16"/>
        <v>10954.17</v>
      </c>
      <c r="AE13" s="162">
        <f t="shared" si="16"/>
        <v>8215.64</v>
      </c>
      <c r="AF13" s="162">
        <f t="shared" si="16"/>
        <v>0</v>
      </c>
      <c r="AG13" s="162">
        <f t="shared" si="16"/>
        <v>0</v>
      </c>
      <c r="AH13" s="162">
        <f t="shared" si="16"/>
        <v>0</v>
      </c>
      <c r="AI13" s="162">
        <f t="shared" si="16"/>
        <v>0</v>
      </c>
      <c r="AJ13" s="162">
        <f t="shared" si="16"/>
        <v>0</v>
      </c>
      <c r="AK13" s="162">
        <f t="shared" si="16"/>
        <v>0</v>
      </c>
      <c r="AL13" s="162">
        <f t="shared" si="16"/>
        <v>0</v>
      </c>
      <c r="AM13" s="162">
        <f t="shared" si="16"/>
        <v>0</v>
      </c>
      <c r="AN13" s="162">
        <f t="shared" si="16"/>
        <v>7302.76</v>
      </c>
      <c r="AO13" s="162">
        <f t="shared" si="16"/>
        <v>0</v>
      </c>
      <c r="AP13" s="204">
        <f t="shared" si="16"/>
        <v>26472.57</v>
      </c>
      <c r="AQ13" s="198">
        <f t="shared" si="16"/>
        <v>374971.04653335304</v>
      </c>
    </row>
    <row r="15" spans="1:43" s="35" customFormat="1" ht="9.75">
      <c r="A15" s="75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</row>
    <row r="16" spans="1:47" ht="12.75" customHeight="1">
      <c r="A16" s="75"/>
      <c r="B16" s="116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</row>
    <row r="17" spans="1:46" ht="12.75">
      <c r="A17" s="75"/>
      <c r="B17" s="168" t="s">
        <v>94</v>
      </c>
      <c r="C17" s="240" t="s">
        <v>193</v>
      </c>
      <c r="D17" s="240"/>
      <c r="E17" s="240"/>
      <c r="F17" s="240"/>
      <c r="G17" s="240"/>
      <c r="H17" s="240"/>
      <c r="I17" s="240"/>
      <c r="J17" s="173">
        <v>567.93</v>
      </c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1:46" ht="12.75">
      <c r="A18" s="75"/>
      <c r="B18" s="168" t="s">
        <v>92</v>
      </c>
      <c r="C18" s="241" t="s">
        <v>198</v>
      </c>
      <c r="D18" s="241"/>
      <c r="E18" s="241"/>
      <c r="F18" s="241"/>
      <c r="G18" s="241"/>
      <c r="H18" s="241"/>
      <c r="I18" s="241"/>
      <c r="J18" s="173">
        <v>1559.49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</row>
    <row r="19" spans="1:46" ht="12.75">
      <c r="A19" s="75"/>
      <c r="B19" s="168" t="s">
        <v>95</v>
      </c>
      <c r="C19" s="241" t="s">
        <v>211</v>
      </c>
      <c r="D19" s="241"/>
      <c r="E19" s="241"/>
      <c r="F19" s="241"/>
      <c r="G19" s="241"/>
      <c r="H19" s="241"/>
      <c r="I19" s="241"/>
      <c r="J19" s="173">
        <v>7818.75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</row>
    <row r="20" spans="1:46" ht="12.75">
      <c r="A20" s="75"/>
      <c r="B20" s="168" t="s">
        <v>91</v>
      </c>
      <c r="C20" s="241" t="s">
        <v>211</v>
      </c>
      <c r="D20" s="241"/>
      <c r="E20" s="241"/>
      <c r="F20" s="241"/>
      <c r="G20" s="241"/>
      <c r="H20" s="241"/>
      <c r="I20" s="241"/>
      <c r="J20" s="173">
        <v>7818.75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</row>
    <row r="21" spans="1:46" ht="12.75">
      <c r="A21" s="75"/>
      <c r="B21" s="168" t="s">
        <v>93</v>
      </c>
      <c r="C21" s="241" t="s">
        <v>314</v>
      </c>
      <c r="D21" s="241"/>
      <c r="E21" s="241"/>
      <c r="F21" s="241"/>
      <c r="G21" s="241"/>
      <c r="H21" s="241"/>
      <c r="I21" s="241"/>
      <c r="J21" s="173">
        <v>3112.96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</row>
    <row r="22" spans="1:46" ht="12.75">
      <c r="A22" s="75"/>
      <c r="B22" s="168"/>
      <c r="C22" s="262"/>
      <c r="D22" s="262"/>
      <c r="E22" s="262"/>
      <c r="F22" s="262"/>
      <c r="G22" s="262"/>
      <c r="H22" s="262"/>
      <c r="I22" s="262"/>
      <c r="J22" s="173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</row>
    <row r="23" spans="1:48" ht="25.5" customHeight="1">
      <c r="A23" s="75"/>
      <c r="B23" s="171"/>
      <c r="C23" s="240"/>
      <c r="D23" s="240"/>
      <c r="E23" s="240"/>
      <c r="F23" s="240"/>
      <c r="G23" s="240"/>
      <c r="H23" s="240"/>
      <c r="I23" s="240"/>
      <c r="J23" s="173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</row>
  </sheetData>
  <sheetProtection/>
  <autoFilter ref="A1:I5"/>
  <mergeCells count="13">
    <mergeCell ref="C16:AU16"/>
    <mergeCell ref="C17:I17"/>
    <mergeCell ref="C19:I19"/>
    <mergeCell ref="C20:I20"/>
    <mergeCell ref="C21:I21"/>
    <mergeCell ref="C22:I22"/>
    <mergeCell ref="C18:I18"/>
    <mergeCell ref="C23:I23"/>
    <mergeCell ref="A2:AQ2"/>
    <mergeCell ref="AD5:AP5"/>
    <mergeCell ref="Q5:AC5"/>
    <mergeCell ref="A4:I4"/>
    <mergeCell ref="D5:P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U65531"/>
  <sheetViews>
    <sheetView view="pageBreakPreview" zoomScaleSheetLayoutView="100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6" sqref="O16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00390625" style="26" customWidth="1"/>
    <col min="4" max="6" width="9.8515625" style="0" customWidth="1"/>
    <col min="7" max="7" width="9.140625" style="0" customWidth="1"/>
    <col min="8" max="8" width="8.7109375" style="0" customWidth="1"/>
    <col min="9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customWidth="1"/>
    <col min="30" max="41" width="9.28125" style="0" customWidth="1"/>
    <col min="42" max="42" width="10.00390625" style="0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4" t="s">
        <v>0</v>
      </c>
      <c r="B5" s="5" t="s">
        <v>1</v>
      </c>
      <c r="C5" s="6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>
      <c r="A6" s="38"/>
      <c r="B6" s="39" t="s">
        <v>79</v>
      </c>
      <c r="C6" s="38"/>
      <c r="D6" s="40" t="s">
        <v>42</v>
      </c>
      <c r="E6" s="40" t="s">
        <v>80</v>
      </c>
      <c r="F6" s="40" t="s">
        <v>44</v>
      </c>
      <c r="G6" s="40" t="s">
        <v>45</v>
      </c>
      <c r="H6" s="40" t="s">
        <v>46</v>
      </c>
      <c r="I6" s="40" t="s">
        <v>47</v>
      </c>
      <c r="J6" s="40" t="s">
        <v>48</v>
      </c>
      <c r="K6" s="40" t="s">
        <v>49</v>
      </c>
      <c r="L6" s="40" t="s">
        <v>50</v>
      </c>
      <c r="M6" s="40" t="s">
        <v>51</v>
      </c>
      <c r="N6" s="40" t="s">
        <v>52</v>
      </c>
      <c r="O6" s="40" t="s">
        <v>53</v>
      </c>
      <c r="P6" s="80" t="s">
        <v>54</v>
      </c>
      <c r="Q6" s="81" t="s">
        <v>42</v>
      </c>
      <c r="R6" s="30" t="s">
        <v>43</v>
      </c>
      <c r="S6" s="30" t="s">
        <v>44</v>
      </c>
      <c r="T6" s="29" t="s">
        <v>45</v>
      </c>
      <c r="U6" s="29" t="s">
        <v>46</v>
      </c>
      <c r="V6" s="29" t="s">
        <v>47</v>
      </c>
      <c r="W6" s="29" t="s">
        <v>48</v>
      </c>
      <c r="X6" s="29" t="s">
        <v>49</v>
      </c>
      <c r="Y6" s="34" t="s">
        <v>50</v>
      </c>
      <c r="Z6" s="29" t="s">
        <v>51</v>
      </c>
      <c r="AA6" s="29" t="s">
        <v>52</v>
      </c>
      <c r="AB6" s="29" t="s">
        <v>53</v>
      </c>
      <c r="AC6" s="93" t="s">
        <v>54</v>
      </c>
      <c r="AD6" s="94" t="s">
        <v>42</v>
      </c>
      <c r="AE6" s="29" t="s">
        <v>43</v>
      </c>
      <c r="AF6" s="29" t="s">
        <v>44</v>
      </c>
      <c r="AG6" s="29" t="s">
        <v>45</v>
      </c>
      <c r="AH6" s="29" t="s">
        <v>46</v>
      </c>
      <c r="AI6" s="29" t="s">
        <v>47</v>
      </c>
      <c r="AJ6" s="29" t="s">
        <v>48</v>
      </c>
      <c r="AK6" s="29" t="s">
        <v>49</v>
      </c>
      <c r="AL6" s="29" t="s">
        <v>50</v>
      </c>
      <c r="AM6" s="29" t="s">
        <v>51</v>
      </c>
      <c r="AN6" s="29" t="s">
        <v>52</v>
      </c>
      <c r="AO6" s="29" t="s">
        <v>53</v>
      </c>
      <c r="AP6" s="93" t="s">
        <v>54</v>
      </c>
      <c r="AQ6" s="96"/>
    </row>
    <row r="7" spans="1:43" ht="12" customHeight="1">
      <c r="A7" s="10">
        <v>1</v>
      </c>
      <c r="B7" s="9" t="s">
        <v>81</v>
      </c>
      <c r="C7" s="123">
        <v>894.5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207">
        <f>SUM(D7:O7)</f>
        <v>0</v>
      </c>
      <c r="Q7" s="127">
        <f aca="true" t="shared" si="0" ref="Q7:Q15">C7*593690.15/479520.23</f>
        <v>1107.4732742245308</v>
      </c>
      <c r="R7" s="125">
        <f aca="true" t="shared" si="1" ref="R7:R15">C7*593686.15/479517.01</f>
        <v>1107.4732493326983</v>
      </c>
      <c r="S7" s="125">
        <f aca="true" t="shared" si="2" ref="S7:S15">C7*579500.06/479514.61</f>
        <v>1081.015662213087</v>
      </c>
      <c r="T7" s="125">
        <f aca="true" t="shared" si="3" ref="T7:T15">C7*593938.3/479720.67</f>
        <v>1107.4732496934103</v>
      </c>
      <c r="U7" s="125">
        <f aca="true" t="shared" si="4" ref="U7:U15">C7*576132.29/479725.57</f>
        <v>1074.2607141099443</v>
      </c>
      <c r="V7" s="125">
        <f aca="true" t="shared" si="5" ref="V7:V15">C7*593946.23/479729.4</f>
        <v>1107.4678823832767</v>
      </c>
      <c r="W7" s="125">
        <f aca="true" t="shared" si="6" ref="W7:W15">C7*594015.27/479782.82</f>
        <v>1107.4732918010695</v>
      </c>
      <c r="X7" s="125">
        <f aca="true" t="shared" si="7" ref="X7:X15">C7*594005.55/479774.98</f>
        <v>1107.4732668948266</v>
      </c>
      <c r="Y7" s="125">
        <f aca="true" t="shared" si="8" ref="Y7:Y15">C7*585421.9/479766.08</f>
        <v>1091.4900227002292</v>
      </c>
      <c r="Z7" s="125">
        <f aca="true" t="shared" si="9" ref="Z7:Z15">C7*572643.93/479776.28</f>
        <v>1067.643434529527</v>
      </c>
      <c r="AA7" s="125">
        <f aca="true" t="shared" si="10" ref="AA7:AA15">C7*588687.52/475479.64</f>
        <v>1107.4732592966548</v>
      </c>
      <c r="AB7" s="125">
        <f aca="true" t="shared" si="11" ref="AB7:AB15">C7*577403.59/475489.94</f>
        <v>1086.221742682926</v>
      </c>
      <c r="AC7" s="195">
        <f>SUM(Q7:AB7)</f>
        <v>13152.93904986218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5">
        <f>SUM(AD7:AO7)</f>
        <v>0</v>
      </c>
      <c r="AQ7" s="197">
        <f>P7+AC7+AP7</f>
        <v>13152.93904986218</v>
      </c>
    </row>
    <row r="8" spans="1:43" ht="12" customHeight="1">
      <c r="A8" s="10">
        <v>2</v>
      </c>
      <c r="B8" s="9" t="s">
        <v>82</v>
      </c>
      <c r="C8" s="123">
        <v>1994.1</v>
      </c>
      <c r="D8" s="125"/>
      <c r="E8" s="125"/>
      <c r="F8" s="125"/>
      <c r="G8" s="125">
        <v>762.77</v>
      </c>
      <c r="H8" s="125"/>
      <c r="I8" s="125">
        <v>5280.12</v>
      </c>
      <c r="J8" s="125"/>
      <c r="K8" s="125"/>
      <c r="L8" s="125"/>
      <c r="M8" s="125"/>
      <c r="N8" s="125"/>
      <c r="O8" s="125"/>
      <c r="P8" s="207">
        <f aca="true" t="shared" si="12" ref="P8:P15">SUM(D8:O8)</f>
        <v>6042.889999999999</v>
      </c>
      <c r="Q8" s="127">
        <f t="shared" si="0"/>
        <v>2468.879213114742</v>
      </c>
      <c r="R8" s="125">
        <f t="shared" si="1"/>
        <v>2468.8791576236263</v>
      </c>
      <c r="S8" s="125">
        <f t="shared" si="2"/>
        <v>2409.8975204238304</v>
      </c>
      <c r="T8" s="125">
        <f t="shared" si="3"/>
        <v>2468.8791584277574</v>
      </c>
      <c r="U8" s="125">
        <f t="shared" si="4"/>
        <v>2394.8387814495695</v>
      </c>
      <c r="V8" s="125">
        <f t="shared" si="5"/>
        <v>2468.86719313638</v>
      </c>
      <c r="W8" s="125">
        <f t="shared" si="6"/>
        <v>2468.879252297946</v>
      </c>
      <c r="X8" s="125">
        <f t="shared" si="7"/>
        <v>2468.879196774705</v>
      </c>
      <c r="Y8" s="125">
        <f t="shared" si="8"/>
        <v>2433.247908626637</v>
      </c>
      <c r="Z8" s="125">
        <f t="shared" si="9"/>
        <v>2380.0869455509555</v>
      </c>
      <c r="AA8" s="125">
        <f t="shared" si="10"/>
        <v>2468.8791798361754</v>
      </c>
      <c r="AB8" s="125">
        <f t="shared" si="11"/>
        <v>2421.5033841073478</v>
      </c>
      <c r="AC8" s="195">
        <f aca="true" t="shared" si="13" ref="AC8:AC15">SUM(Q8:AB8)</f>
        <v>29321.716891369673</v>
      </c>
      <c r="AD8" s="127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aca="true" t="shared" si="14" ref="AP8:AP15">SUM(AD8:AO8)</f>
        <v>0</v>
      </c>
      <c r="AQ8" s="197">
        <f>P8+AC8+AP8</f>
        <v>35364.60689136967</v>
      </c>
    </row>
    <row r="9" spans="1:43" ht="12" customHeight="1">
      <c r="A9" s="10">
        <v>3</v>
      </c>
      <c r="B9" s="9" t="s">
        <v>83</v>
      </c>
      <c r="C9" s="123">
        <v>1619.5</v>
      </c>
      <c r="D9" s="125">
        <v>759.49</v>
      </c>
      <c r="E9" s="125"/>
      <c r="F9" s="125"/>
      <c r="G9" s="125">
        <v>352.47</v>
      </c>
      <c r="H9" s="125"/>
      <c r="I9" s="125"/>
      <c r="J9" s="125"/>
      <c r="K9" s="125"/>
      <c r="L9" s="125"/>
      <c r="M9" s="125"/>
      <c r="N9" s="125">
        <v>694.48</v>
      </c>
      <c r="O9" s="125"/>
      <c r="P9" s="207">
        <f t="shared" si="12"/>
        <v>1806.44</v>
      </c>
      <c r="Q9" s="127">
        <f t="shared" si="0"/>
        <v>2005.0899581963415</v>
      </c>
      <c r="R9" s="125">
        <f t="shared" si="1"/>
        <v>2005.0899131294634</v>
      </c>
      <c r="S9" s="125">
        <f t="shared" si="2"/>
        <v>1957.188222419334</v>
      </c>
      <c r="T9" s="125">
        <f t="shared" si="3"/>
        <v>2005.0899137825352</v>
      </c>
      <c r="U9" s="125">
        <f t="shared" si="4"/>
        <v>1944.9583303533311</v>
      </c>
      <c r="V9" s="125">
        <f t="shared" si="5"/>
        <v>2005.0801962210362</v>
      </c>
      <c r="W9" s="125">
        <f t="shared" si="6"/>
        <v>2005.0899900188172</v>
      </c>
      <c r="X9" s="125">
        <f t="shared" si="7"/>
        <v>2005.0899449258484</v>
      </c>
      <c r="Y9" s="125">
        <f t="shared" si="8"/>
        <v>1976.1521428317735</v>
      </c>
      <c r="Z9" s="125">
        <f t="shared" si="9"/>
        <v>1932.9776883404909</v>
      </c>
      <c r="AA9" s="125">
        <f t="shared" si="10"/>
        <v>2005.0899311692924</v>
      </c>
      <c r="AB9" s="125">
        <f t="shared" si="11"/>
        <v>1966.6138762157618</v>
      </c>
      <c r="AC9" s="195">
        <f t="shared" si="13"/>
        <v>23813.510107604026</v>
      </c>
      <c r="AD9" s="127">
        <f>3651.4</f>
        <v>3651.4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 t="shared" si="14"/>
        <v>3651.4</v>
      </c>
      <c r="AQ9" s="197">
        <f aca="true" t="shared" si="15" ref="AQ9:AQ15">P9+AC9+AP9</f>
        <v>29271.350107604027</v>
      </c>
    </row>
    <row r="10" spans="1:43" ht="12" customHeight="1">
      <c r="A10" s="10">
        <v>4</v>
      </c>
      <c r="B10" s="9" t="s">
        <v>84</v>
      </c>
      <c r="C10" s="123">
        <v>1133.3</v>
      </c>
      <c r="D10" s="125"/>
      <c r="E10" s="125"/>
      <c r="F10" s="125"/>
      <c r="G10" s="125"/>
      <c r="H10" s="125"/>
      <c r="I10" s="125">
        <v>5280.12</v>
      </c>
      <c r="J10" s="125"/>
      <c r="K10" s="125"/>
      <c r="L10" s="125"/>
      <c r="M10" s="125"/>
      <c r="N10" s="125"/>
      <c r="O10" s="125"/>
      <c r="P10" s="207">
        <f t="shared" si="12"/>
        <v>5280.12</v>
      </c>
      <c r="Q10" s="127">
        <f t="shared" si="0"/>
        <v>1403.1296385451767</v>
      </c>
      <c r="R10" s="125">
        <f t="shared" si="1"/>
        <v>1403.1296070081016</v>
      </c>
      <c r="S10" s="125">
        <f t="shared" si="2"/>
        <v>1369.6087758368824</v>
      </c>
      <c r="T10" s="125">
        <f t="shared" si="3"/>
        <v>1403.129607465111</v>
      </c>
      <c r="U10" s="125">
        <f t="shared" si="4"/>
        <v>1361.050494467076</v>
      </c>
      <c r="V10" s="125">
        <f t="shared" si="5"/>
        <v>1403.1228072721829</v>
      </c>
      <c r="W10" s="125">
        <f t="shared" si="6"/>
        <v>1403.1296608140324</v>
      </c>
      <c r="X10" s="125">
        <f t="shared" si="7"/>
        <v>1403.1296292586997</v>
      </c>
      <c r="Y10" s="125">
        <f t="shared" si="8"/>
        <v>1382.8794217173502</v>
      </c>
      <c r="Z10" s="125">
        <f t="shared" si="9"/>
        <v>1352.6666342675383</v>
      </c>
      <c r="AA10" s="125">
        <f t="shared" si="10"/>
        <v>1403.1296196320834</v>
      </c>
      <c r="AB10" s="125">
        <f t="shared" si="11"/>
        <v>1376.2046964589827</v>
      </c>
      <c r="AC10" s="195">
        <f t="shared" si="13"/>
        <v>16664.31059274322</v>
      </c>
      <c r="AD10" s="127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0</v>
      </c>
      <c r="AQ10" s="197">
        <f t="shared" si="15"/>
        <v>21944.430592743218</v>
      </c>
    </row>
    <row r="11" spans="1:43" ht="12" customHeight="1">
      <c r="A11" s="10">
        <v>5</v>
      </c>
      <c r="B11" s="9" t="s">
        <v>85</v>
      </c>
      <c r="C11" s="123">
        <v>1990.2</v>
      </c>
      <c r="D11" s="125"/>
      <c r="E11" s="125"/>
      <c r="F11" s="125">
        <f>54038.94</f>
        <v>54038.94</v>
      </c>
      <c r="G11" s="125"/>
      <c r="H11" s="125"/>
      <c r="I11" s="125"/>
      <c r="J11" s="125"/>
      <c r="K11" s="125"/>
      <c r="L11" s="125"/>
      <c r="M11" s="125"/>
      <c r="N11" s="125"/>
      <c r="O11" s="125"/>
      <c r="P11" s="207">
        <f t="shared" si="12"/>
        <v>54038.94</v>
      </c>
      <c r="Q11" s="127">
        <f t="shared" si="0"/>
        <v>2464.0506544009622</v>
      </c>
      <c r="R11" s="125">
        <f t="shared" si="1"/>
        <v>2464.0505990183747</v>
      </c>
      <c r="S11" s="125">
        <f t="shared" si="2"/>
        <v>2405.1843163068593</v>
      </c>
      <c r="T11" s="125">
        <f t="shared" si="3"/>
        <v>2464.0505998209337</v>
      </c>
      <c r="U11" s="125">
        <f t="shared" si="4"/>
        <v>2390.1550287552946</v>
      </c>
      <c r="V11" s="125">
        <f t="shared" si="5"/>
        <v>2464.038657930909</v>
      </c>
      <c r="W11" s="125">
        <f t="shared" si="6"/>
        <v>2464.050693507533</v>
      </c>
      <c r="X11" s="125">
        <f t="shared" si="7"/>
        <v>2464.050638092883</v>
      </c>
      <c r="Y11" s="125">
        <f t="shared" si="8"/>
        <v>2428.4890365321367</v>
      </c>
      <c r="Z11" s="125">
        <f t="shared" si="9"/>
        <v>2375.4320440476968</v>
      </c>
      <c r="AA11" s="125">
        <f t="shared" si="10"/>
        <v>2464.0506211874817</v>
      </c>
      <c r="AB11" s="125">
        <f t="shared" si="11"/>
        <v>2416.7674815959303</v>
      </c>
      <c r="AC11" s="195">
        <f t="shared" si="13"/>
        <v>29264.37037119699</v>
      </c>
      <c r="AD11" s="127"/>
      <c r="AE11" s="125"/>
      <c r="AF11" s="125">
        <v>4564.24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4564.24</v>
      </c>
      <c r="AQ11" s="197">
        <f t="shared" si="15"/>
        <v>87867.550371197</v>
      </c>
    </row>
    <row r="12" spans="1:43" ht="12" customHeight="1">
      <c r="A12" s="10">
        <v>6</v>
      </c>
      <c r="B12" s="9" t="s">
        <v>86</v>
      </c>
      <c r="C12" s="123">
        <v>1498.3</v>
      </c>
      <c r="D12" s="125"/>
      <c r="E12" s="125"/>
      <c r="F12" s="125"/>
      <c r="G12" s="125">
        <v>235.15</v>
      </c>
      <c r="H12" s="125"/>
      <c r="I12" s="125">
        <v>5280.12</v>
      </c>
      <c r="J12" s="125"/>
      <c r="K12" s="125"/>
      <c r="L12" s="125"/>
      <c r="M12" s="125"/>
      <c r="N12" s="125"/>
      <c r="O12" s="125"/>
      <c r="P12" s="207">
        <f t="shared" si="12"/>
        <v>5515.2699999999995</v>
      </c>
      <c r="Q12" s="127">
        <f t="shared" si="0"/>
        <v>1855.0332104758124</v>
      </c>
      <c r="R12" s="125">
        <f t="shared" si="1"/>
        <v>1855.0331687816454</v>
      </c>
      <c r="S12" s="125">
        <f t="shared" si="2"/>
        <v>1810.716340630372</v>
      </c>
      <c r="T12" s="125">
        <f t="shared" si="3"/>
        <v>1855.033169385843</v>
      </c>
      <c r="U12" s="125">
        <f t="shared" si="4"/>
        <v>1799.4017081620227</v>
      </c>
      <c r="V12" s="125">
        <f t="shared" si="5"/>
        <v>1855.0241790663651</v>
      </c>
      <c r="W12" s="125">
        <f t="shared" si="6"/>
        <v>1855.0332399167607</v>
      </c>
      <c r="X12" s="125">
        <f t="shared" si="7"/>
        <v>1855.0331981984557</v>
      </c>
      <c r="Y12" s="125">
        <f t="shared" si="8"/>
        <v>1828.2610408180585</v>
      </c>
      <c r="Z12" s="125">
        <f t="shared" si="9"/>
        <v>1788.3176723930578</v>
      </c>
      <c r="AA12" s="125">
        <f t="shared" si="10"/>
        <v>1855.0331854714113</v>
      </c>
      <c r="AB12" s="125">
        <f t="shared" si="11"/>
        <v>1819.4365981686174</v>
      </c>
      <c r="AC12" s="195">
        <f t="shared" si="13"/>
        <v>22031.356711468423</v>
      </c>
      <c r="AD12" s="127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95">
        <f t="shared" si="14"/>
        <v>0</v>
      </c>
      <c r="AQ12" s="197">
        <f t="shared" si="15"/>
        <v>27546.626711468423</v>
      </c>
    </row>
    <row r="13" spans="1:43" ht="12" customHeight="1">
      <c r="A13" s="10">
        <v>7</v>
      </c>
      <c r="B13" s="9" t="s">
        <v>87</v>
      </c>
      <c r="C13" s="123">
        <v>1811.5</v>
      </c>
      <c r="D13" s="125"/>
      <c r="E13" s="125"/>
      <c r="F13" s="125">
        <f>9584.45</f>
        <v>9584.45</v>
      </c>
      <c r="G13" s="125"/>
      <c r="H13" s="125"/>
      <c r="I13" s="125">
        <v>6500.27</v>
      </c>
      <c r="J13" s="125"/>
      <c r="K13" s="125"/>
      <c r="L13" s="125"/>
      <c r="M13" s="125"/>
      <c r="N13" s="125"/>
      <c r="O13" s="125">
        <v>6240</v>
      </c>
      <c r="P13" s="207">
        <f t="shared" si="12"/>
        <v>22324.72</v>
      </c>
      <c r="Q13" s="127">
        <f t="shared" si="0"/>
        <v>2242.8036179516353</v>
      </c>
      <c r="R13" s="125">
        <f t="shared" si="1"/>
        <v>2242.803567541848</v>
      </c>
      <c r="S13" s="125">
        <f t="shared" si="2"/>
        <v>2189.2228866394707</v>
      </c>
      <c r="T13" s="125">
        <f t="shared" si="3"/>
        <v>2242.803568272345</v>
      </c>
      <c r="U13" s="125">
        <f t="shared" si="4"/>
        <v>2175.5430783791658</v>
      </c>
      <c r="V13" s="125">
        <f t="shared" si="5"/>
        <v>2242.792698644277</v>
      </c>
      <c r="W13" s="125">
        <f t="shared" si="6"/>
        <v>2242.8036535468277</v>
      </c>
      <c r="X13" s="125">
        <f t="shared" si="7"/>
        <v>2242.8036031078573</v>
      </c>
      <c r="Y13" s="125">
        <f t="shared" si="8"/>
        <v>2210.435076714886</v>
      </c>
      <c r="Z13" s="125">
        <f t="shared" si="9"/>
        <v>2162.142070039394</v>
      </c>
      <c r="AA13" s="125">
        <f t="shared" si="10"/>
        <v>2242.803587720391</v>
      </c>
      <c r="AB13" s="125">
        <f t="shared" si="11"/>
        <v>2199.7659998548024</v>
      </c>
      <c r="AC13" s="195">
        <f t="shared" si="13"/>
        <v>26636.7234084129</v>
      </c>
      <c r="AD13" s="127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95">
        <f t="shared" si="14"/>
        <v>0</v>
      </c>
      <c r="AQ13" s="197">
        <f t="shared" si="15"/>
        <v>48961.4434084129</v>
      </c>
    </row>
    <row r="14" spans="1:43" ht="12" customHeight="1">
      <c r="A14" s="10">
        <v>8</v>
      </c>
      <c r="B14" s="9" t="s">
        <v>88</v>
      </c>
      <c r="C14" s="123">
        <v>2420.3</v>
      </c>
      <c r="D14" s="125"/>
      <c r="E14" s="125"/>
      <c r="F14" s="125"/>
      <c r="G14" s="125">
        <v>269.42</v>
      </c>
      <c r="H14" s="125">
        <v>527.24</v>
      </c>
      <c r="I14" s="125"/>
      <c r="J14" s="125"/>
      <c r="K14" s="125"/>
      <c r="L14" s="125"/>
      <c r="M14" s="125"/>
      <c r="N14" s="125"/>
      <c r="O14" s="125"/>
      <c r="P14" s="207">
        <f t="shared" si="12"/>
        <v>796.6600000000001</v>
      </c>
      <c r="Q14" s="127">
        <f t="shared" si="0"/>
        <v>2996.5540140923777</v>
      </c>
      <c r="R14" s="125">
        <f t="shared" si="1"/>
        <v>2996.553946741118</v>
      </c>
      <c r="S14" s="125">
        <f t="shared" si="2"/>
        <v>2924.966134437489</v>
      </c>
      <c r="T14" s="125">
        <f t="shared" si="3"/>
        <v>2996.553947717117</v>
      </c>
      <c r="U14" s="125">
        <f t="shared" si="4"/>
        <v>2906.688883577751</v>
      </c>
      <c r="V14" s="125">
        <f t="shared" si="5"/>
        <v>2996.539425077971</v>
      </c>
      <c r="W14" s="125">
        <f t="shared" si="6"/>
        <v>2996.554061650228</v>
      </c>
      <c r="X14" s="125">
        <f t="shared" si="7"/>
        <v>2996.553994259976</v>
      </c>
      <c r="Y14" s="125">
        <f t="shared" si="8"/>
        <v>2953.307212902588</v>
      </c>
      <c r="Z14" s="125">
        <f t="shared" si="9"/>
        <v>2888.784130343001</v>
      </c>
      <c r="AA14" s="125">
        <f t="shared" si="10"/>
        <v>2996.5539737011663</v>
      </c>
      <c r="AB14" s="125">
        <f t="shared" si="11"/>
        <v>2939.052525226927</v>
      </c>
      <c r="AC14" s="195">
        <f t="shared" si="13"/>
        <v>35588.66224972771</v>
      </c>
      <c r="AD14" s="127"/>
      <c r="AE14" s="125"/>
      <c r="AF14" s="125"/>
      <c r="AG14" s="125"/>
      <c r="AH14" s="125">
        <v>7302.77</v>
      </c>
      <c r="AI14" s="125"/>
      <c r="AJ14" s="125"/>
      <c r="AK14" s="125"/>
      <c r="AL14" s="125"/>
      <c r="AM14" s="125"/>
      <c r="AN14" s="125"/>
      <c r="AO14" s="125"/>
      <c r="AP14" s="195">
        <f t="shared" si="14"/>
        <v>7302.77</v>
      </c>
      <c r="AQ14" s="197">
        <f t="shared" si="15"/>
        <v>43688.09224972772</v>
      </c>
    </row>
    <row r="15" spans="1:43" ht="12" customHeight="1">
      <c r="A15" s="10">
        <v>9</v>
      </c>
      <c r="B15" s="9" t="s">
        <v>89</v>
      </c>
      <c r="C15" s="123">
        <v>1771.5</v>
      </c>
      <c r="D15" s="125"/>
      <c r="E15" s="125"/>
      <c r="F15" s="125"/>
      <c r="G15" s="125">
        <v>1039.61</v>
      </c>
      <c r="H15" s="125"/>
      <c r="I15" s="125"/>
      <c r="J15" s="125"/>
      <c r="K15" s="125"/>
      <c r="L15" s="125"/>
      <c r="M15" s="125"/>
      <c r="N15" s="125"/>
      <c r="O15" s="125">
        <v>6240</v>
      </c>
      <c r="P15" s="207">
        <f t="shared" si="12"/>
        <v>7279.61</v>
      </c>
      <c r="Q15" s="127">
        <f t="shared" si="0"/>
        <v>2193.2799388359485</v>
      </c>
      <c r="R15" s="125">
        <f t="shared" si="1"/>
        <v>2193.279889539268</v>
      </c>
      <c r="S15" s="125">
        <f t="shared" si="2"/>
        <v>2140.8823315936093</v>
      </c>
      <c r="T15" s="125">
        <f t="shared" si="3"/>
        <v>2193.2798902536347</v>
      </c>
      <c r="U15" s="125">
        <f t="shared" si="4"/>
        <v>2127.504589207117</v>
      </c>
      <c r="V15" s="125">
        <f t="shared" si="5"/>
        <v>2193.2692606394353</v>
      </c>
      <c r="W15" s="125">
        <f t="shared" si="6"/>
        <v>2193.279973645159</v>
      </c>
      <c r="X15" s="125">
        <f t="shared" si="7"/>
        <v>2193.279924319939</v>
      </c>
      <c r="Y15" s="125">
        <f t="shared" si="8"/>
        <v>2161.626132155904</v>
      </c>
      <c r="Z15" s="125">
        <f t="shared" si="9"/>
        <v>2114.399490518789</v>
      </c>
      <c r="AA15" s="125">
        <f t="shared" si="10"/>
        <v>2193.2799092722457</v>
      </c>
      <c r="AB15" s="125">
        <f t="shared" si="11"/>
        <v>2151.1926407633355</v>
      </c>
      <c r="AC15" s="195">
        <f t="shared" si="13"/>
        <v>26048.553970744386</v>
      </c>
      <c r="AD15" s="127"/>
      <c r="AE15" s="125"/>
      <c r="AF15" s="125"/>
      <c r="AG15" s="125">
        <v>4564.24</v>
      </c>
      <c r="AH15" s="125"/>
      <c r="AI15" s="125"/>
      <c r="AJ15" s="125"/>
      <c r="AK15" s="125"/>
      <c r="AL15" s="125"/>
      <c r="AM15" s="125"/>
      <c r="AN15" s="125"/>
      <c r="AO15" s="125"/>
      <c r="AP15" s="195">
        <f t="shared" si="14"/>
        <v>4564.24</v>
      </c>
      <c r="AQ15" s="197">
        <f t="shared" si="15"/>
        <v>37892.40397074438</v>
      </c>
    </row>
    <row r="16" spans="1:43" ht="12" customHeight="1" thickBot="1">
      <c r="A16" s="23">
        <v>9</v>
      </c>
      <c r="B16" s="12" t="s">
        <v>3</v>
      </c>
      <c r="C16" s="133">
        <f>SUM(C7:C15)</f>
        <v>15133.2</v>
      </c>
      <c r="D16" s="135">
        <f aca="true" t="shared" si="16" ref="D16:AQ16">SUM(D7:D15)</f>
        <v>759.49</v>
      </c>
      <c r="E16" s="135">
        <f t="shared" si="16"/>
        <v>0</v>
      </c>
      <c r="F16" s="135">
        <f t="shared" si="16"/>
        <v>63623.39</v>
      </c>
      <c r="G16" s="135">
        <f t="shared" si="16"/>
        <v>2659.42</v>
      </c>
      <c r="H16" s="135">
        <f t="shared" si="16"/>
        <v>527.24</v>
      </c>
      <c r="I16" s="135">
        <f t="shared" si="16"/>
        <v>22340.63</v>
      </c>
      <c r="J16" s="135">
        <f t="shared" si="16"/>
        <v>0</v>
      </c>
      <c r="K16" s="135">
        <f t="shared" si="16"/>
        <v>0</v>
      </c>
      <c r="L16" s="135">
        <f t="shared" si="16"/>
        <v>0</v>
      </c>
      <c r="M16" s="135">
        <f t="shared" si="16"/>
        <v>0</v>
      </c>
      <c r="N16" s="135">
        <f t="shared" si="16"/>
        <v>694.48</v>
      </c>
      <c r="O16" s="135">
        <f t="shared" si="16"/>
        <v>12480</v>
      </c>
      <c r="P16" s="202">
        <f>SUM(P7:P15)</f>
        <v>103084.65000000001</v>
      </c>
      <c r="Q16" s="136">
        <f t="shared" si="16"/>
        <v>18736.293519837527</v>
      </c>
      <c r="R16" s="162">
        <f t="shared" si="16"/>
        <v>18736.293098716145</v>
      </c>
      <c r="S16" s="162">
        <f t="shared" si="16"/>
        <v>18288.682190500935</v>
      </c>
      <c r="T16" s="162">
        <f t="shared" si="16"/>
        <v>18736.293104818684</v>
      </c>
      <c r="U16" s="162">
        <f t="shared" si="16"/>
        <v>18174.40160846127</v>
      </c>
      <c r="V16" s="162">
        <f t="shared" si="16"/>
        <v>18736.202300371835</v>
      </c>
      <c r="W16" s="162">
        <f t="shared" si="16"/>
        <v>18736.293817198373</v>
      </c>
      <c r="X16" s="162">
        <f t="shared" si="16"/>
        <v>18736.293395833192</v>
      </c>
      <c r="Y16" s="162">
        <f t="shared" si="16"/>
        <v>18465.887994999564</v>
      </c>
      <c r="Z16" s="162">
        <f t="shared" si="16"/>
        <v>18062.45011003045</v>
      </c>
      <c r="AA16" s="162">
        <f t="shared" si="16"/>
        <v>18736.293267286903</v>
      </c>
      <c r="AB16" s="162">
        <f t="shared" si="16"/>
        <v>18376.75894507463</v>
      </c>
      <c r="AC16" s="204">
        <f t="shared" si="16"/>
        <v>222522.14335312948</v>
      </c>
      <c r="AD16" s="136">
        <f t="shared" si="16"/>
        <v>3651.4</v>
      </c>
      <c r="AE16" s="162">
        <f t="shared" si="16"/>
        <v>0</v>
      </c>
      <c r="AF16" s="162">
        <f t="shared" si="16"/>
        <v>4564.24</v>
      </c>
      <c r="AG16" s="162">
        <f t="shared" si="16"/>
        <v>4564.24</v>
      </c>
      <c r="AH16" s="162">
        <f t="shared" si="16"/>
        <v>7302.77</v>
      </c>
      <c r="AI16" s="162">
        <f t="shared" si="16"/>
        <v>0</v>
      </c>
      <c r="AJ16" s="162">
        <f t="shared" si="16"/>
        <v>0</v>
      </c>
      <c r="AK16" s="162">
        <f t="shared" si="16"/>
        <v>0</v>
      </c>
      <c r="AL16" s="162">
        <f t="shared" si="16"/>
        <v>0</v>
      </c>
      <c r="AM16" s="162">
        <f t="shared" si="16"/>
        <v>0</v>
      </c>
      <c r="AN16" s="162">
        <f t="shared" si="16"/>
        <v>0</v>
      </c>
      <c r="AO16" s="162">
        <f t="shared" si="16"/>
        <v>0</v>
      </c>
      <c r="AP16" s="204">
        <f t="shared" si="16"/>
        <v>20082.65</v>
      </c>
      <c r="AQ16" s="198">
        <f t="shared" si="16"/>
        <v>345689.4433531295</v>
      </c>
    </row>
    <row r="18" s="73" customFormat="1" ht="9.75">
      <c r="A18" s="51"/>
    </row>
    <row r="19" spans="1:44" ht="12.75" customHeight="1">
      <c r="A19" s="51"/>
      <c r="B19" s="116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</row>
    <row r="20" spans="1:47" ht="12.75" customHeight="1">
      <c r="A20" s="51"/>
      <c r="B20" s="168" t="s">
        <v>83</v>
      </c>
      <c r="C20" s="240" t="s">
        <v>186</v>
      </c>
      <c r="D20" s="240"/>
      <c r="E20" s="240"/>
      <c r="F20" s="240"/>
      <c r="G20" s="240"/>
      <c r="H20" s="240"/>
      <c r="I20" s="240"/>
      <c r="J20" s="173">
        <v>759.49</v>
      </c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10" ht="12.75">
      <c r="A21" s="51"/>
      <c r="B21" s="168" t="s">
        <v>85</v>
      </c>
      <c r="C21" s="240" t="s">
        <v>210</v>
      </c>
      <c r="D21" s="240"/>
      <c r="E21" s="240"/>
      <c r="F21" s="240"/>
      <c r="G21" s="240"/>
      <c r="H21" s="240"/>
      <c r="I21" s="240"/>
      <c r="J21" s="175">
        <v>54038.94</v>
      </c>
    </row>
    <row r="22" spans="2:44" ht="12.75" customHeight="1">
      <c r="B22" s="171" t="s">
        <v>87</v>
      </c>
      <c r="C22" s="240" t="s">
        <v>214</v>
      </c>
      <c r="D22" s="240"/>
      <c r="E22" s="240"/>
      <c r="F22" s="240"/>
      <c r="G22" s="240"/>
      <c r="H22" s="240"/>
      <c r="I22" s="240"/>
      <c r="J22" s="173">
        <v>9584.45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</row>
    <row r="23" spans="2:10" ht="12.75">
      <c r="B23" s="187" t="s">
        <v>83</v>
      </c>
      <c r="C23" s="263" t="s">
        <v>234</v>
      </c>
      <c r="D23" s="263"/>
      <c r="E23" s="263"/>
      <c r="F23" s="263"/>
      <c r="G23" s="263"/>
      <c r="H23" s="263"/>
      <c r="I23" s="263"/>
      <c r="J23" s="175">
        <v>352.47</v>
      </c>
    </row>
    <row r="24" spans="2:10" ht="20.25" customHeight="1">
      <c r="B24" s="187" t="s">
        <v>82</v>
      </c>
      <c r="C24" s="263" t="s">
        <v>235</v>
      </c>
      <c r="D24" s="263"/>
      <c r="E24" s="263"/>
      <c r="F24" s="263"/>
      <c r="G24" s="263"/>
      <c r="H24" s="263"/>
      <c r="I24" s="263"/>
      <c r="J24" s="175">
        <v>762.77</v>
      </c>
    </row>
    <row r="25" spans="2:10" ht="12.75">
      <c r="B25" s="187" t="s">
        <v>86</v>
      </c>
      <c r="C25" s="239" t="s">
        <v>236</v>
      </c>
      <c r="D25" s="239"/>
      <c r="E25" s="239"/>
      <c r="F25" s="239"/>
      <c r="G25" s="239"/>
      <c r="H25" s="239"/>
      <c r="I25" s="239"/>
      <c r="J25" s="175">
        <v>235.15</v>
      </c>
    </row>
    <row r="26" spans="2:10" ht="12.75">
      <c r="B26" s="187" t="s">
        <v>88</v>
      </c>
      <c r="C26" s="239" t="s">
        <v>234</v>
      </c>
      <c r="D26" s="239"/>
      <c r="E26" s="239"/>
      <c r="F26" s="239"/>
      <c r="G26" s="239"/>
      <c r="H26" s="239"/>
      <c r="I26" s="239"/>
      <c r="J26" s="175">
        <v>269.42</v>
      </c>
    </row>
    <row r="27" spans="2:10" ht="21" customHeight="1">
      <c r="B27" s="187" t="s">
        <v>89</v>
      </c>
      <c r="C27" s="263" t="s">
        <v>237</v>
      </c>
      <c r="D27" s="263"/>
      <c r="E27" s="263"/>
      <c r="F27" s="263"/>
      <c r="G27" s="263"/>
      <c r="H27" s="263"/>
      <c r="I27" s="263"/>
      <c r="J27" s="175">
        <v>1039.61</v>
      </c>
    </row>
    <row r="28" spans="2:10" ht="12.75">
      <c r="B28" s="187" t="s">
        <v>88</v>
      </c>
      <c r="C28" s="239" t="s">
        <v>241</v>
      </c>
      <c r="D28" s="239"/>
      <c r="E28" s="239"/>
      <c r="F28" s="239"/>
      <c r="G28" s="239"/>
      <c r="H28" s="239"/>
      <c r="I28" s="239"/>
      <c r="J28" s="175">
        <v>527.24</v>
      </c>
    </row>
    <row r="29" spans="2:10" ht="12.75">
      <c r="B29" s="187" t="s">
        <v>85</v>
      </c>
      <c r="C29" s="252" t="s">
        <v>255</v>
      </c>
      <c r="D29" s="252"/>
      <c r="E29" s="252"/>
      <c r="F29" s="252"/>
      <c r="G29" s="252"/>
      <c r="H29" s="252"/>
      <c r="I29" s="252"/>
      <c r="J29" s="175">
        <v>6500.27</v>
      </c>
    </row>
    <row r="30" spans="2:10" ht="12.75">
      <c r="B30" s="46" t="s">
        <v>82</v>
      </c>
      <c r="C30" s="264" t="s">
        <v>259</v>
      </c>
      <c r="D30" s="264"/>
      <c r="E30" s="264"/>
      <c r="F30" s="264"/>
      <c r="G30" s="264"/>
      <c r="H30" s="264"/>
      <c r="I30" s="264"/>
      <c r="J30" s="175">
        <v>5280.12</v>
      </c>
    </row>
    <row r="31" spans="2:10" ht="12.75">
      <c r="B31" s="46" t="s">
        <v>86</v>
      </c>
      <c r="C31" s="264" t="s">
        <v>259</v>
      </c>
      <c r="D31" s="264"/>
      <c r="E31" s="264"/>
      <c r="F31" s="264"/>
      <c r="G31" s="264"/>
      <c r="H31" s="264"/>
      <c r="I31" s="264"/>
      <c r="J31" s="175">
        <v>5280.12</v>
      </c>
    </row>
    <row r="32" spans="2:10" ht="12.75">
      <c r="B32" s="46" t="s">
        <v>84</v>
      </c>
      <c r="C32" s="264" t="s">
        <v>259</v>
      </c>
      <c r="D32" s="264"/>
      <c r="E32" s="264"/>
      <c r="F32" s="264"/>
      <c r="G32" s="264"/>
      <c r="H32" s="264"/>
      <c r="I32" s="264"/>
      <c r="J32" s="175">
        <v>5280.12</v>
      </c>
    </row>
    <row r="33" spans="2:10" ht="12.75">
      <c r="B33" s="46" t="s">
        <v>310</v>
      </c>
      <c r="C33" s="264" t="s">
        <v>285</v>
      </c>
      <c r="D33" s="264"/>
      <c r="E33" s="264"/>
      <c r="F33" s="264"/>
      <c r="G33" s="264"/>
      <c r="H33" s="264"/>
      <c r="I33" s="264"/>
      <c r="J33" s="175">
        <v>694.48</v>
      </c>
    </row>
    <row r="65531" spans="3:16" ht="12.75">
      <c r="C65531" s="26">
        <f aca="true" t="shared" si="17" ref="C65531:O65531">SUM(C16)</f>
        <v>15133.2</v>
      </c>
      <c r="D65531" s="53">
        <f t="shared" si="17"/>
        <v>759.49</v>
      </c>
      <c r="E65531" s="53">
        <f t="shared" si="17"/>
        <v>0</v>
      </c>
      <c r="F65531" s="53">
        <f t="shared" si="17"/>
        <v>63623.39</v>
      </c>
      <c r="G65531" s="53">
        <f t="shared" si="17"/>
        <v>2659.42</v>
      </c>
      <c r="H65531" s="53">
        <f t="shared" si="17"/>
        <v>527.24</v>
      </c>
      <c r="I65531" s="53">
        <f t="shared" si="17"/>
        <v>22340.63</v>
      </c>
      <c r="J65531" s="53">
        <f t="shared" si="17"/>
        <v>0</v>
      </c>
      <c r="K65531" s="53">
        <f t="shared" si="17"/>
        <v>0</v>
      </c>
      <c r="L65531" s="53">
        <f t="shared" si="17"/>
        <v>0</v>
      </c>
      <c r="M65531" s="53">
        <f t="shared" si="17"/>
        <v>0</v>
      </c>
      <c r="N65531" s="53">
        <f t="shared" si="17"/>
        <v>694.48</v>
      </c>
      <c r="O65531" s="53">
        <f t="shared" si="17"/>
        <v>12480</v>
      </c>
      <c r="P65531" s="53">
        <f>SUM(C65531:O65536)</f>
        <v>118217.85</v>
      </c>
    </row>
  </sheetData>
  <sheetProtection/>
  <autoFilter ref="A1:I5"/>
  <mergeCells count="20">
    <mergeCell ref="C28:I28"/>
    <mergeCell ref="C29:I29"/>
    <mergeCell ref="C30:I30"/>
    <mergeCell ref="C31:I31"/>
    <mergeCell ref="C32:I32"/>
    <mergeCell ref="C33:I33"/>
    <mergeCell ref="C22:I22"/>
    <mergeCell ref="C23:I23"/>
    <mergeCell ref="C24:I24"/>
    <mergeCell ref="C25:I25"/>
    <mergeCell ref="C26:I26"/>
    <mergeCell ref="C27:I27"/>
    <mergeCell ref="C20:I20"/>
    <mergeCell ref="C21:I21"/>
    <mergeCell ref="C19:AR19"/>
    <mergeCell ref="A2:AQ2"/>
    <mergeCell ref="AD5:AP5"/>
    <mergeCell ref="Q5:AC5"/>
    <mergeCell ref="A4:I4"/>
    <mergeCell ref="D5:P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8" max="4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Q2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8" sqref="O8"/>
    </sheetView>
  </sheetViews>
  <sheetFormatPr defaultColWidth="9.140625" defaultRowHeight="12.75"/>
  <cols>
    <col min="1" max="1" width="6.28125" style="27" customWidth="1"/>
    <col min="2" max="2" width="20.7109375" style="26" customWidth="1"/>
    <col min="3" max="3" width="10.57421875" style="26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57421875" style="0" customWidth="1"/>
    <col min="16" max="16" width="11.28125" style="0" customWidth="1"/>
    <col min="17" max="28" width="9.57421875" style="0" customWidth="1"/>
    <col min="29" max="29" width="11.28125" style="0" customWidth="1"/>
    <col min="30" max="41" width="9.28125" style="0" customWidth="1"/>
    <col min="42" max="42" width="11.28125" style="0" customWidth="1"/>
    <col min="43" max="43" width="11.281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4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9" ht="13.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43" ht="30.75" thickBot="1">
      <c r="A5" s="28" t="s">
        <v>0</v>
      </c>
      <c r="B5" s="28" t="s">
        <v>1</v>
      </c>
      <c r="C5" s="28" t="s">
        <v>2</v>
      </c>
      <c r="D5" s="243" t="s">
        <v>38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39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243" t="s">
        <v>40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28" t="s">
        <v>41</v>
      </c>
    </row>
    <row r="6" spans="1:43" ht="12" customHeight="1" thickBot="1">
      <c r="A6" s="98"/>
      <c r="B6" s="25" t="s">
        <v>33</v>
      </c>
      <c r="C6" s="98"/>
      <c r="D6" s="83" t="s">
        <v>42</v>
      </c>
      <c r="E6" s="31" t="s">
        <v>43</v>
      </c>
      <c r="F6" s="31" t="s">
        <v>44</v>
      </c>
      <c r="G6" s="31" t="s">
        <v>45</v>
      </c>
      <c r="H6" s="31" t="s">
        <v>46</v>
      </c>
      <c r="I6" s="31" t="s">
        <v>47</v>
      </c>
      <c r="J6" s="31" t="s">
        <v>48</v>
      </c>
      <c r="K6" s="31" t="s">
        <v>49</v>
      </c>
      <c r="L6" s="31" t="s">
        <v>50</v>
      </c>
      <c r="M6" s="31" t="s">
        <v>51</v>
      </c>
      <c r="N6" s="31" t="s">
        <v>52</v>
      </c>
      <c r="O6" s="31" t="s">
        <v>53</v>
      </c>
      <c r="P6" s="84" t="s">
        <v>54</v>
      </c>
      <c r="Q6" s="83" t="s">
        <v>42</v>
      </c>
      <c r="R6" s="31" t="s">
        <v>43</v>
      </c>
      <c r="S6" s="31" t="s">
        <v>44</v>
      </c>
      <c r="T6" s="31" t="s">
        <v>45</v>
      </c>
      <c r="U6" s="31" t="s">
        <v>46</v>
      </c>
      <c r="V6" s="31" t="s">
        <v>47</v>
      </c>
      <c r="W6" s="31" t="s">
        <v>48</v>
      </c>
      <c r="X6" s="31" t="s">
        <v>49</v>
      </c>
      <c r="Y6" s="31" t="s">
        <v>50</v>
      </c>
      <c r="Z6" s="31" t="s">
        <v>51</v>
      </c>
      <c r="AA6" s="31" t="s">
        <v>52</v>
      </c>
      <c r="AB6" s="31" t="s">
        <v>53</v>
      </c>
      <c r="AC6" s="84" t="s">
        <v>54</v>
      </c>
      <c r="AD6" s="83" t="s">
        <v>42</v>
      </c>
      <c r="AE6" s="31" t="s">
        <v>43</v>
      </c>
      <c r="AF6" s="31" t="s">
        <v>44</v>
      </c>
      <c r="AG6" s="31" t="s">
        <v>45</v>
      </c>
      <c r="AH6" s="31" t="s">
        <v>46</v>
      </c>
      <c r="AI6" s="31" t="s">
        <v>47</v>
      </c>
      <c r="AJ6" s="31" t="s">
        <v>48</v>
      </c>
      <c r="AK6" s="31" t="s">
        <v>49</v>
      </c>
      <c r="AL6" s="31" t="s">
        <v>50</v>
      </c>
      <c r="AM6" s="31" t="s">
        <v>51</v>
      </c>
      <c r="AN6" s="31" t="s">
        <v>52</v>
      </c>
      <c r="AO6" s="31" t="s">
        <v>53</v>
      </c>
      <c r="AP6" s="84" t="s">
        <v>54</v>
      </c>
      <c r="AQ6" s="86"/>
    </row>
    <row r="7" spans="1:43" ht="12" customHeight="1">
      <c r="A7" s="99">
        <v>1</v>
      </c>
      <c r="B7" s="102" t="s">
        <v>34</v>
      </c>
      <c r="C7" s="139">
        <v>6611.3</v>
      </c>
      <c r="D7" s="127">
        <f>2309.99</f>
        <v>2309.99</v>
      </c>
      <c r="E7" s="125"/>
      <c r="F7" s="125">
        <f>7818.75</f>
        <v>7818.75</v>
      </c>
      <c r="G7" s="125"/>
      <c r="H7" s="125"/>
      <c r="I7" s="125"/>
      <c r="J7" s="125"/>
      <c r="K7" s="125"/>
      <c r="L7" s="125"/>
      <c r="M7" s="125">
        <v>9793.03</v>
      </c>
      <c r="N7" s="125"/>
      <c r="O7" s="125">
        <v>6240</v>
      </c>
      <c r="P7" s="195">
        <f aca="true" t="shared" si="0" ref="P7:P13">SUM(D7:O7)</f>
        <v>26161.77</v>
      </c>
      <c r="Q7" s="127">
        <f aca="true" t="shared" si="1" ref="Q7:Q13">C7*593690.15/479520.23</f>
        <v>8185.3974934383905</v>
      </c>
      <c r="R7" s="125">
        <f aca="true" t="shared" si="2" ref="R7:R13">C7*593686.15/479517.01</f>
        <v>8185.397309461452</v>
      </c>
      <c r="S7" s="125">
        <f aca="true" t="shared" si="3" ref="S7:S13">C7*579500.06/479514.61</f>
        <v>7989.84778936767</v>
      </c>
      <c r="T7" s="125">
        <f aca="true" t="shared" si="4" ref="T7:T13">C7*593938.3/479720.67</f>
        <v>8185.397312127494</v>
      </c>
      <c r="U7" s="125">
        <f aca="true" t="shared" si="5" ref="U7:U13">C7*576132.29/479725.57</f>
        <v>7939.9215865791775</v>
      </c>
      <c r="V7" s="125">
        <f aca="true" t="shared" si="6" ref="V7:V13">C7*593946.23/479729.4</f>
        <v>8185.357642035281</v>
      </c>
      <c r="W7" s="125">
        <f aca="true" t="shared" si="7" ref="W7:W13">C7*594015.27/479782.82</f>
        <v>8185.3976233475805</v>
      </c>
      <c r="X7" s="125">
        <f aca="true" t="shared" si="8" ref="X7:X13">C7*594005.55/479774.98</f>
        <v>8185.397439264133</v>
      </c>
      <c r="Y7" s="125">
        <f aca="true" t="shared" si="9" ref="Y7:Y13">C7*585421.9/479766.08</f>
        <v>8067.2643790699</v>
      </c>
      <c r="Z7" s="125">
        <f aca="true" t="shared" si="10" ref="Z7:Z13">C7*572643.93/479776.28</f>
        <v>7891.012899614379</v>
      </c>
      <c r="AA7" s="125">
        <f aca="true" t="shared" si="11" ref="AA7:AA13">C7*588687.52/475479.64</f>
        <v>8185.3973831056155</v>
      </c>
      <c r="AB7" s="125">
        <f aca="true" t="shared" si="12" ref="AB7:AB13">C7*577403.59/475489.94</f>
        <v>8028.32622403536</v>
      </c>
      <c r="AC7" s="195">
        <f aca="true" t="shared" si="13" ref="AC7:AC13">SUM(Q7:AB7)</f>
        <v>97214.11508144643</v>
      </c>
      <c r="AD7" s="127"/>
      <c r="AE7" s="125"/>
      <c r="AF7" s="125"/>
      <c r="AG7" s="125"/>
      <c r="AH7" s="125"/>
      <c r="AI7" s="125"/>
      <c r="AJ7" s="125"/>
      <c r="AK7" s="125"/>
      <c r="AL7" s="125"/>
      <c r="AM7" s="125">
        <v>12360.43</v>
      </c>
      <c r="AN7" s="125"/>
      <c r="AO7" s="125"/>
      <c r="AP7" s="195">
        <f aca="true" t="shared" si="14" ref="AP7:AP13">SUM(AD7:AO7)</f>
        <v>12360.43</v>
      </c>
      <c r="AQ7" s="197">
        <f aca="true" t="shared" si="15" ref="AQ7:AQ13">P7+AC7+AP7</f>
        <v>135736.31508144643</v>
      </c>
    </row>
    <row r="8" spans="1:43" ht="12" customHeight="1">
      <c r="A8" s="99">
        <v>2</v>
      </c>
      <c r="B8" s="102" t="s">
        <v>180</v>
      </c>
      <c r="C8" s="139">
        <v>2632.4</v>
      </c>
      <c r="D8" s="127"/>
      <c r="E8" s="125"/>
      <c r="F8" s="125"/>
      <c r="G8" s="125"/>
      <c r="H8" s="125"/>
      <c r="I8" s="125"/>
      <c r="J8" s="125">
        <v>52982.69</v>
      </c>
      <c r="K8" s="125"/>
      <c r="L8" s="125"/>
      <c r="M8" s="125">
        <v>1773.1</v>
      </c>
      <c r="N8" s="125"/>
      <c r="O8" s="125"/>
      <c r="P8" s="195">
        <f t="shared" si="0"/>
        <v>54755.79</v>
      </c>
      <c r="Q8" s="127">
        <f t="shared" si="1"/>
        <v>3259.1533226033034</v>
      </c>
      <c r="R8" s="125">
        <f t="shared" si="2"/>
        <v>3259.1532493497994</v>
      </c>
      <c r="S8" s="125">
        <f t="shared" si="3"/>
        <v>3181.291927568172</v>
      </c>
      <c r="T8" s="125">
        <f t="shared" si="4"/>
        <v>3259.1532504113284</v>
      </c>
      <c r="U8" s="125">
        <f t="shared" si="5"/>
        <v>3161.41297241254</v>
      </c>
      <c r="V8" s="125">
        <f t="shared" si="6"/>
        <v>3259.137455098645</v>
      </c>
      <c r="W8" s="125">
        <f t="shared" si="7"/>
        <v>3259.153374328827</v>
      </c>
      <c r="X8" s="125">
        <f t="shared" si="8"/>
        <v>3259.153301032914</v>
      </c>
      <c r="Y8" s="125">
        <f t="shared" si="9"/>
        <v>3212.116641426589</v>
      </c>
      <c r="Z8" s="125">
        <f t="shared" si="10"/>
        <v>3141.9391582510084</v>
      </c>
      <c r="AA8" s="125">
        <f t="shared" si="11"/>
        <v>3259.153278672458</v>
      </c>
      <c r="AB8" s="125">
        <f t="shared" si="12"/>
        <v>3196.6127618094297</v>
      </c>
      <c r="AC8" s="195">
        <f t="shared" si="13"/>
        <v>38707.43069296502</v>
      </c>
      <c r="AD8" s="127"/>
      <c r="AE8" s="125"/>
      <c r="AF8" s="125">
        <v>4564.24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95">
        <f t="shared" si="14"/>
        <v>4564.24</v>
      </c>
      <c r="AQ8" s="197">
        <f t="shared" si="15"/>
        <v>98027.46069296503</v>
      </c>
    </row>
    <row r="9" spans="1:43" ht="12" customHeight="1">
      <c r="A9" s="99">
        <v>3</v>
      </c>
      <c r="B9" s="103" t="s">
        <v>35</v>
      </c>
      <c r="C9" s="140">
        <v>964.1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95">
        <f t="shared" si="0"/>
        <v>0</v>
      </c>
      <c r="Q9" s="127">
        <f t="shared" si="1"/>
        <v>1193.6444758858245</v>
      </c>
      <c r="R9" s="125">
        <f t="shared" si="2"/>
        <v>1193.6444490571878</v>
      </c>
      <c r="S9" s="125">
        <f t="shared" si="3"/>
        <v>1165.1282279928867</v>
      </c>
      <c r="T9" s="125">
        <f t="shared" si="4"/>
        <v>1193.6444494459663</v>
      </c>
      <c r="U9" s="125">
        <f t="shared" si="5"/>
        <v>1157.8476852693093</v>
      </c>
      <c r="V9" s="125">
        <f t="shared" si="6"/>
        <v>1193.6386645117018</v>
      </c>
      <c r="W9" s="125">
        <f t="shared" si="7"/>
        <v>1193.6444948299734</v>
      </c>
      <c r="X9" s="125">
        <f t="shared" si="8"/>
        <v>1193.6444679858048</v>
      </c>
      <c r="Y9" s="125">
        <f t="shared" si="9"/>
        <v>1176.4175862328575</v>
      </c>
      <c r="Z9" s="125">
        <f t="shared" si="10"/>
        <v>1150.7155228953795</v>
      </c>
      <c r="AA9" s="125">
        <f t="shared" si="11"/>
        <v>1193.644459796428</v>
      </c>
      <c r="AB9" s="125">
        <f t="shared" si="12"/>
        <v>1170.7393875020782</v>
      </c>
      <c r="AC9" s="195">
        <f t="shared" si="13"/>
        <v>14176.3538714054</v>
      </c>
      <c r="AD9" s="127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95">
        <f t="shared" si="14"/>
        <v>0</v>
      </c>
      <c r="AQ9" s="197">
        <f t="shared" si="15"/>
        <v>14176.3538714054</v>
      </c>
    </row>
    <row r="10" spans="1:43" ht="12" customHeight="1">
      <c r="A10" s="99">
        <v>4</v>
      </c>
      <c r="B10" s="103" t="s">
        <v>36</v>
      </c>
      <c r="C10" s="140">
        <v>1349.5</v>
      </c>
      <c r="D10" s="127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94"/>
      <c r="P10" s="195">
        <f t="shared" si="0"/>
        <v>0</v>
      </c>
      <c r="Q10" s="127">
        <f t="shared" si="1"/>
        <v>1670.8051241654603</v>
      </c>
      <c r="R10" s="125">
        <f t="shared" si="2"/>
        <v>1670.8050866120475</v>
      </c>
      <c r="S10" s="125">
        <f t="shared" si="3"/>
        <v>1630.889475859766</v>
      </c>
      <c r="T10" s="125">
        <f t="shared" si="4"/>
        <v>1670.8050871562405</v>
      </c>
      <c r="U10" s="125">
        <f t="shared" si="5"/>
        <v>1620.6985284420007</v>
      </c>
      <c r="V10" s="125">
        <f t="shared" si="6"/>
        <v>1670.7969896883533</v>
      </c>
      <c r="W10" s="125">
        <f t="shared" si="7"/>
        <v>1670.8051506825525</v>
      </c>
      <c r="X10" s="125">
        <f t="shared" si="8"/>
        <v>1670.805113107399</v>
      </c>
      <c r="Y10" s="125">
        <f t="shared" si="9"/>
        <v>1646.6917670586467</v>
      </c>
      <c r="Z10" s="125">
        <f t="shared" si="10"/>
        <v>1610.7152765764076</v>
      </c>
      <c r="AA10" s="125">
        <f t="shared" si="11"/>
        <v>1670.80510164431</v>
      </c>
      <c r="AB10" s="125">
        <f t="shared" si="12"/>
        <v>1638.7437023483608</v>
      </c>
      <c r="AC10" s="195">
        <f t="shared" si="13"/>
        <v>19843.366403341544</v>
      </c>
      <c r="AD10" s="127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95">
        <f t="shared" si="14"/>
        <v>0</v>
      </c>
      <c r="AQ10" s="197">
        <f t="shared" si="15"/>
        <v>19843.366403341544</v>
      </c>
    </row>
    <row r="11" spans="1:43" ht="12" customHeight="1">
      <c r="A11" s="99">
        <v>5</v>
      </c>
      <c r="B11" s="103" t="s">
        <v>169</v>
      </c>
      <c r="C11" s="140">
        <v>596.72</v>
      </c>
      <c r="D11" s="12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95">
        <f t="shared" si="0"/>
        <v>0</v>
      </c>
      <c r="Q11" s="127">
        <f t="shared" si="1"/>
        <v>738.7942450478055</v>
      </c>
      <c r="R11" s="125">
        <f t="shared" si="2"/>
        <v>738.7942284424905</v>
      </c>
      <c r="S11" s="125">
        <f t="shared" si="3"/>
        <v>721.1444001741679</v>
      </c>
      <c r="T11" s="125">
        <f t="shared" si="4"/>
        <v>738.7942286831211</v>
      </c>
      <c r="U11" s="125">
        <f t="shared" si="5"/>
        <v>716.6381814686259</v>
      </c>
      <c r="V11" s="125">
        <f t="shared" si="6"/>
        <v>738.7906481562313</v>
      </c>
      <c r="W11" s="125">
        <f t="shared" si="7"/>
        <v>738.7942567730959</v>
      </c>
      <c r="X11" s="125">
        <f t="shared" si="8"/>
        <v>738.7942401581677</v>
      </c>
      <c r="Y11" s="125">
        <f t="shared" si="9"/>
        <v>728.1318349308897</v>
      </c>
      <c r="Z11" s="125">
        <f t="shared" si="10"/>
        <v>712.2238012883838</v>
      </c>
      <c r="AA11" s="125">
        <f t="shared" si="11"/>
        <v>738.7942350894352</v>
      </c>
      <c r="AB11" s="125">
        <f t="shared" si="12"/>
        <v>724.6173709265016</v>
      </c>
      <c r="AC11" s="195">
        <f t="shared" si="13"/>
        <v>8774.311671138918</v>
      </c>
      <c r="AD11" s="127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95">
        <f t="shared" si="14"/>
        <v>0</v>
      </c>
      <c r="AQ11" s="197">
        <f t="shared" si="15"/>
        <v>8774.311671138918</v>
      </c>
    </row>
    <row r="12" spans="1:43" ht="12" customHeight="1">
      <c r="A12" s="99">
        <v>6</v>
      </c>
      <c r="B12" s="103" t="s">
        <v>170</v>
      </c>
      <c r="C12" s="140">
        <v>587.5</v>
      </c>
      <c r="D12" s="127"/>
      <c r="E12" s="125"/>
      <c r="F12" s="125"/>
      <c r="G12" s="125"/>
      <c r="H12" s="125"/>
      <c r="I12" s="125"/>
      <c r="J12" s="125">
        <v>4597.71</v>
      </c>
      <c r="K12" s="125"/>
      <c r="L12" s="125"/>
      <c r="M12" s="125"/>
      <c r="N12" s="125"/>
      <c r="O12" s="125"/>
      <c r="P12" s="195">
        <f t="shared" si="0"/>
        <v>4597.71</v>
      </c>
      <c r="Q12" s="127">
        <f t="shared" si="1"/>
        <v>727.3790370116398</v>
      </c>
      <c r="R12" s="125">
        <f t="shared" si="2"/>
        <v>727.3790206628958</v>
      </c>
      <c r="S12" s="125">
        <f t="shared" si="3"/>
        <v>710.0019022360967</v>
      </c>
      <c r="T12" s="125">
        <f t="shared" si="4"/>
        <v>727.3790208998082</v>
      </c>
      <c r="U12" s="125">
        <f t="shared" si="5"/>
        <v>705.5653097144686</v>
      </c>
      <c r="V12" s="125">
        <f t="shared" si="6"/>
        <v>727.3754956961153</v>
      </c>
      <c r="W12" s="125">
        <f t="shared" si="7"/>
        <v>727.3790485557611</v>
      </c>
      <c r="X12" s="125">
        <f t="shared" si="8"/>
        <v>727.3790321975523</v>
      </c>
      <c r="Y12" s="125">
        <f t="shared" si="9"/>
        <v>716.8813732100443</v>
      </c>
      <c r="Z12" s="125">
        <f t="shared" si="10"/>
        <v>701.2191367088844</v>
      </c>
      <c r="AA12" s="125">
        <f t="shared" si="11"/>
        <v>727.3790272071376</v>
      </c>
      <c r="AB12" s="125">
        <f t="shared" si="12"/>
        <v>713.4212116559186</v>
      </c>
      <c r="AC12" s="195">
        <f t="shared" si="13"/>
        <v>8638.738615756323</v>
      </c>
      <c r="AD12" s="127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95">
        <f t="shared" si="14"/>
        <v>0</v>
      </c>
      <c r="AQ12" s="197">
        <f t="shared" si="15"/>
        <v>13236.448615756322</v>
      </c>
    </row>
    <row r="13" spans="1:43" ht="12" customHeight="1">
      <c r="A13" s="99">
        <v>7</v>
      </c>
      <c r="B13" s="103" t="s">
        <v>171</v>
      </c>
      <c r="C13" s="139">
        <v>582.4</v>
      </c>
      <c r="D13" s="142"/>
      <c r="E13" s="163"/>
      <c r="F13" s="163"/>
      <c r="G13" s="163"/>
      <c r="H13" s="163"/>
      <c r="I13" s="163"/>
      <c r="J13" s="163">
        <v>4569.54</v>
      </c>
      <c r="K13" s="163"/>
      <c r="L13" s="163"/>
      <c r="M13" s="163"/>
      <c r="N13" s="163"/>
      <c r="O13" s="163"/>
      <c r="P13" s="195">
        <f t="shared" si="0"/>
        <v>4569.54</v>
      </c>
      <c r="Q13" s="127">
        <f t="shared" si="1"/>
        <v>721.0647679243898</v>
      </c>
      <c r="R13" s="125">
        <f t="shared" si="2"/>
        <v>721.0647517175668</v>
      </c>
      <c r="S13" s="125">
        <f t="shared" si="3"/>
        <v>703.8384814677493</v>
      </c>
      <c r="T13" s="125">
        <f t="shared" si="4"/>
        <v>721.0647519524227</v>
      </c>
      <c r="U13" s="125">
        <f t="shared" si="5"/>
        <v>699.4404023450323</v>
      </c>
      <c r="V13" s="125">
        <f t="shared" si="6"/>
        <v>721.061257350498</v>
      </c>
      <c r="W13" s="125">
        <f t="shared" si="7"/>
        <v>721.0647793682984</v>
      </c>
      <c r="X13" s="125">
        <f t="shared" si="8"/>
        <v>721.0647631520927</v>
      </c>
      <c r="Y13" s="125">
        <f t="shared" si="9"/>
        <v>710.6582327787742</v>
      </c>
      <c r="Z13" s="125">
        <f t="shared" si="10"/>
        <v>695.1319578200073</v>
      </c>
      <c r="AA13" s="125">
        <f t="shared" si="11"/>
        <v>721.0647582049991</v>
      </c>
      <c r="AB13" s="125">
        <f t="shared" si="12"/>
        <v>707.2281083717564</v>
      </c>
      <c r="AC13" s="195">
        <f t="shared" si="13"/>
        <v>8563.747012453587</v>
      </c>
      <c r="AD13" s="127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95">
        <f t="shared" si="14"/>
        <v>0</v>
      </c>
      <c r="AQ13" s="197">
        <f t="shared" si="15"/>
        <v>13133.287012453588</v>
      </c>
    </row>
    <row r="14" spans="1:43" ht="12" customHeight="1" thickBot="1">
      <c r="A14" s="101">
        <v>7</v>
      </c>
      <c r="B14" s="104" t="s">
        <v>3</v>
      </c>
      <c r="C14" s="141">
        <f>SUM(C7:C13)</f>
        <v>13323.92</v>
      </c>
      <c r="D14" s="128">
        <f aca="true" t="shared" si="16" ref="D14:AQ14">SUM(D7:D13)</f>
        <v>2309.99</v>
      </c>
      <c r="E14" s="128">
        <f t="shared" si="16"/>
        <v>0</v>
      </c>
      <c r="F14" s="128">
        <f t="shared" si="16"/>
        <v>7818.75</v>
      </c>
      <c r="G14" s="128">
        <f t="shared" si="16"/>
        <v>0</v>
      </c>
      <c r="H14" s="128">
        <f t="shared" si="16"/>
        <v>0</v>
      </c>
      <c r="I14" s="128">
        <f t="shared" si="16"/>
        <v>0</v>
      </c>
      <c r="J14" s="161">
        <f aca="true" t="shared" si="17" ref="J14:P14">SUM(J7:J13)</f>
        <v>62149.94</v>
      </c>
      <c r="K14" s="161">
        <f t="shared" si="17"/>
        <v>0</v>
      </c>
      <c r="L14" s="161">
        <f t="shared" si="17"/>
        <v>0</v>
      </c>
      <c r="M14" s="161">
        <f t="shared" si="17"/>
        <v>11566.130000000001</v>
      </c>
      <c r="N14" s="161">
        <f t="shared" si="17"/>
        <v>0</v>
      </c>
      <c r="O14" s="161">
        <f t="shared" si="17"/>
        <v>6240</v>
      </c>
      <c r="P14" s="196">
        <f t="shared" si="17"/>
        <v>90084.81</v>
      </c>
      <c r="Q14" s="128">
        <f t="shared" si="16"/>
        <v>16496.238466076815</v>
      </c>
      <c r="R14" s="161">
        <f t="shared" si="16"/>
        <v>16496.23809530344</v>
      </c>
      <c r="S14" s="161">
        <f t="shared" si="16"/>
        <v>16102.14220466651</v>
      </c>
      <c r="T14" s="161">
        <f t="shared" si="16"/>
        <v>16496.238100676383</v>
      </c>
      <c r="U14" s="161">
        <f t="shared" si="16"/>
        <v>16001.524666231153</v>
      </c>
      <c r="V14" s="161">
        <f t="shared" si="16"/>
        <v>16496.158152536824</v>
      </c>
      <c r="W14" s="161">
        <f t="shared" si="16"/>
        <v>16496.238727886088</v>
      </c>
      <c r="X14" s="161">
        <f t="shared" si="16"/>
        <v>16496.238356898062</v>
      </c>
      <c r="Y14" s="161">
        <f t="shared" si="16"/>
        <v>16258.161814707702</v>
      </c>
      <c r="Z14" s="161">
        <f t="shared" si="16"/>
        <v>15902.957753154451</v>
      </c>
      <c r="AA14" s="161">
        <f t="shared" si="16"/>
        <v>16496.238243720385</v>
      </c>
      <c r="AB14" s="161">
        <f t="shared" si="16"/>
        <v>16179.68876664941</v>
      </c>
      <c r="AC14" s="196">
        <f t="shared" si="16"/>
        <v>195918.06334850725</v>
      </c>
      <c r="AD14" s="128">
        <f t="shared" si="16"/>
        <v>0</v>
      </c>
      <c r="AE14" s="161">
        <f t="shared" si="16"/>
        <v>0</v>
      </c>
      <c r="AF14" s="161">
        <f t="shared" si="16"/>
        <v>4564.24</v>
      </c>
      <c r="AG14" s="161">
        <f t="shared" si="16"/>
        <v>0</v>
      </c>
      <c r="AH14" s="161">
        <f t="shared" si="16"/>
        <v>0</v>
      </c>
      <c r="AI14" s="161">
        <f>SUM(AI7:AI13)</f>
        <v>0</v>
      </c>
      <c r="AJ14" s="161">
        <f t="shared" si="16"/>
        <v>0</v>
      </c>
      <c r="AK14" s="161">
        <f t="shared" si="16"/>
        <v>0</v>
      </c>
      <c r="AL14" s="161">
        <f t="shared" si="16"/>
        <v>0</v>
      </c>
      <c r="AM14" s="161">
        <f t="shared" si="16"/>
        <v>12360.43</v>
      </c>
      <c r="AN14" s="161">
        <f t="shared" si="16"/>
        <v>0</v>
      </c>
      <c r="AO14" s="161">
        <f>SUM(AO7:AO13)</f>
        <v>0</v>
      </c>
      <c r="AP14" s="196">
        <f t="shared" si="16"/>
        <v>16924.67</v>
      </c>
      <c r="AQ14" s="200">
        <f t="shared" si="16"/>
        <v>302927.5433485072</v>
      </c>
    </row>
    <row r="16" spans="1:43" s="48" customFormat="1" ht="12.75">
      <c r="A16" s="5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</row>
    <row r="17" spans="1:43" s="48" customFormat="1" ht="9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10" s="48" customFormat="1" ht="9.75">
      <c r="A18" s="51"/>
      <c r="B18" s="117"/>
      <c r="C18" s="115"/>
      <c r="D18" s="115"/>
      <c r="E18" s="115"/>
      <c r="J18" s="156"/>
    </row>
    <row r="19" spans="1:10" s="48" customFormat="1" ht="9.75">
      <c r="A19" s="51"/>
      <c r="B19" s="168" t="s">
        <v>34</v>
      </c>
      <c r="C19" s="247" t="s">
        <v>190</v>
      </c>
      <c r="D19" s="247"/>
      <c r="E19" s="247"/>
      <c r="F19" s="247"/>
      <c r="G19" s="247"/>
      <c r="H19" s="247"/>
      <c r="I19" s="247"/>
      <c r="J19" s="175">
        <v>2309.99</v>
      </c>
    </row>
    <row r="20" spans="1:43" s="48" customFormat="1" ht="9.75">
      <c r="A20" s="51"/>
      <c r="B20" s="168" t="s">
        <v>34</v>
      </c>
      <c r="C20" s="241" t="s">
        <v>211</v>
      </c>
      <c r="D20" s="241"/>
      <c r="E20" s="241"/>
      <c r="F20" s="241"/>
      <c r="G20" s="241"/>
      <c r="H20" s="241"/>
      <c r="I20" s="241"/>
      <c r="J20" s="173">
        <v>7818.75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</row>
    <row r="21" spans="1:43" s="48" customFormat="1" ht="11.25" customHeight="1">
      <c r="A21" s="51"/>
      <c r="B21" s="168" t="s">
        <v>180</v>
      </c>
      <c r="C21" s="241" t="s">
        <v>270</v>
      </c>
      <c r="D21" s="241"/>
      <c r="E21" s="241"/>
      <c r="F21" s="241"/>
      <c r="G21" s="241"/>
      <c r="H21" s="241"/>
      <c r="I21" s="241"/>
      <c r="J21" s="173">
        <v>52982.69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</row>
    <row r="22" spans="1:10" s="48" customFormat="1" ht="9.75">
      <c r="A22" s="1"/>
      <c r="B22" s="168" t="s">
        <v>34</v>
      </c>
      <c r="C22" s="241" t="s">
        <v>295</v>
      </c>
      <c r="D22" s="241"/>
      <c r="E22" s="241"/>
      <c r="F22" s="241"/>
      <c r="G22" s="241"/>
      <c r="H22" s="241"/>
      <c r="I22" s="241"/>
      <c r="J22" s="156">
        <v>9793.03</v>
      </c>
    </row>
    <row r="23" spans="1:10" s="48" customFormat="1" ht="11.25" customHeight="1">
      <c r="A23" s="1"/>
      <c r="B23" s="168" t="s">
        <v>180</v>
      </c>
      <c r="C23" s="241" t="s">
        <v>299</v>
      </c>
      <c r="D23" s="241"/>
      <c r="E23" s="241"/>
      <c r="F23" s="241"/>
      <c r="G23" s="241"/>
      <c r="H23" s="241"/>
      <c r="I23" s="241"/>
      <c r="J23" s="156">
        <v>1773.1</v>
      </c>
    </row>
    <row r="24" spans="1:10" s="48" customFormat="1" ht="9.75">
      <c r="A24" s="1"/>
      <c r="B24" s="46" t="s">
        <v>373</v>
      </c>
      <c r="C24" s="264" t="s">
        <v>370</v>
      </c>
      <c r="D24" s="264"/>
      <c r="E24" s="264"/>
      <c r="F24" s="264"/>
      <c r="G24" s="264"/>
      <c r="H24" s="264"/>
      <c r="I24" s="264"/>
      <c r="J24" s="156">
        <v>4597.71</v>
      </c>
    </row>
    <row r="25" spans="1:10" s="48" customFormat="1" ht="9.75">
      <c r="A25" s="1"/>
      <c r="B25" s="46" t="s">
        <v>374</v>
      </c>
      <c r="C25" s="264" t="s">
        <v>370</v>
      </c>
      <c r="D25" s="264"/>
      <c r="E25" s="264"/>
      <c r="F25" s="264"/>
      <c r="G25" s="264"/>
      <c r="H25" s="264"/>
      <c r="I25" s="264"/>
      <c r="J25" s="156">
        <v>4569.54</v>
      </c>
    </row>
    <row r="26" spans="1:10" s="48" customFormat="1" ht="9.75">
      <c r="A26" s="1"/>
      <c r="B26" s="46"/>
      <c r="C26" s="264"/>
      <c r="D26" s="264"/>
      <c r="E26" s="264"/>
      <c r="F26" s="264"/>
      <c r="G26" s="264"/>
      <c r="H26" s="264"/>
      <c r="I26" s="264"/>
      <c r="J26" s="156"/>
    </row>
    <row r="27" spans="1:10" s="48" customFormat="1" ht="9.75">
      <c r="A27" s="1"/>
      <c r="B27" s="187"/>
      <c r="C27" s="239"/>
      <c r="D27" s="239"/>
      <c r="E27" s="239"/>
      <c r="F27" s="239"/>
      <c r="G27" s="239"/>
      <c r="H27" s="239"/>
      <c r="I27" s="239"/>
      <c r="J27" s="188"/>
    </row>
    <row r="28" spans="2:10" ht="12.75">
      <c r="B28" s="187"/>
      <c r="C28" s="239"/>
      <c r="D28" s="239"/>
      <c r="E28" s="239"/>
      <c r="F28" s="239"/>
      <c r="G28" s="239"/>
      <c r="H28" s="239"/>
      <c r="I28" s="239"/>
      <c r="J28" s="175"/>
    </row>
  </sheetData>
  <sheetProtection/>
  <autoFilter ref="A1:I5"/>
  <mergeCells count="15">
    <mergeCell ref="C20:I20"/>
    <mergeCell ref="C21:I21"/>
    <mergeCell ref="C22:I22"/>
    <mergeCell ref="C23:I23"/>
    <mergeCell ref="C24:I24"/>
    <mergeCell ref="C28:I28"/>
    <mergeCell ref="A2:AQ2"/>
    <mergeCell ref="AD5:AP5"/>
    <mergeCell ref="Q5:AC5"/>
    <mergeCell ref="A4:I4"/>
    <mergeCell ref="D5:P5"/>
    <mergeCell ref="C27:I27"/>
    <mergeCell ref="C19:I19"/>
    <mergeCell ref="C25:I25"/>
    <mergeCell ref="C26:I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2018-02-09T04:39:21Z</cp:lastPrinted>
  <dcterms:created xsi:type="dcterms:W3CDTF">1996-10-08T23:32:33Z</dcterms:created>
  <dcterms:modified xsi:type="dcterms:W3CDTF">2019-01-16T06:02:56Z</dcterms:modified>
  <cp:category/>
  <cp:version/>
  <cp:contentType/>
  <cp:contentStatus/>
</cp:coreProperties>
</file>